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57e0f729-7712-494f-b3a6-1dfbf8d66c16/"/>
    </mc:Choice>
  </mc:AlternateContent>
  <xr:revisionPtr revIDLastSave="0" documentId="13_ncr:40000001_{07564F1F-566A-47AF-BC99-0D5B29441950}" xr6:coauthVersionLast="47" xr6:coauthVersionMax="47" xr10:uidLastSave="{00000000-0000-0000-0000-000000000000}"/>
  <bookViews>
    <workbookView xWindow="-120" yWindow="-120" windowWidth="29040" windowHeight="17520" tabRatio="786" xr2:uid="{00000000-000D-0000-FFFF-FFFF00000000}"/>
  </bookViews>
  <sheets>
    <sheet name="Kap.01" sheetId="1" r:id="rId1"/>
    <sheet name="Kap.02" sheetId="2" r:id="rId2"/>
    <sheet name="Kap. 03" sheetId="3" r:id="rId3"/>
    <sheet name="Kap. 04 " sheetId="35" r:id="rId4"/>
    <sheet name="Kap. 05" sheetId="27" r:id="rId5"/>
    <sheet name="Kap. 06" sheetId="19" r:id="rId6"/>
    <sheet name="Kap. 07" sheetId="7" r:id="rId7"/>
    <sheet name="Kap. 08 " sheetId="32" r:id="rId8"/>
    <sheet name="Kap. 09" sheetId="37" r:id="rId9"/>
    <sheet name="Kap. 10" sheetId="36" r:id="rId10"/>
  </sheets>
  <definedNames>
    <definedName name="_xlnm.Print_Area" localSheetId="8">'Kap. 09'!$A$1:$I$139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19" l="1"/>
  <c r="F7" i="19"/>
  <c r="E7" i="19"/>
  <c r="H123" i="37"/>
  <c r="I132" i="37"/>
  <c r="H132" i="37"/>
  <c r="I131" i="37"/>
  <c r="H131" i="37"/>
  <c r="I130" i="37"/>
  <c r="I129" i="37"/>
  <c r="I128" i="37"/>
  <c r="I127" i="37"/>
  <c r="I126" i="37"/>
  <c r="I125" i="37"/>
  <c r="F22" i="27"/>
  <c r="K173" i="35"/>
  <c r="K172" i="35"/>
  <c r="H170" i="35"/>
  <c r="G130" i="35"/>
  <c r="G129" i="35"/>
  <c r="G127" i="35"/>
  <c r="G126" i="35"/>
  <c r="G124" i="35"/>
  <c r="G123" i="35"/>
  <c r="G121" i="35"/>
  <c r="G120" i="35"/>
  <c r="G118" i="35"/>
  <c r="G117" i="35"/>
  <c r="G116" i="35"/>
  <c r="G114" i="35"/>
  <c r="G113" i="35"/>
  <c r="G111" i="35"/>
  <c r="G110" i="35"/>
  <c r="G108" i="35"/>
  <c r="G107" i="35"/>
  <c r="G96" i="35"/>
  <c r="G95" i="35"/>
  <c r="G94" i="35"/>
  <c r="G92" i="35"/>
  <c r="G91" i="35"/>
  <c r="G89" i="35"/>
  <c r="G88" i="35"/>
  <c r="G87" i="35"/>
  <c r="G85" i="35"/>
  <c r="G84" i="35"/>
  <c r="G82" i="35"/>
  <c r="G81" i="35"/>
  <c r="G79" i="35"/>
  <c r="G78" i="35"/>
  <c r="G77" i="35"/>
  <c r="G75" i="35"/>
  <c r="G74" i="35"/>
  <c r="G71" i="35"/>
  <c r="G70" i="35"/>
  <c r="G68" i="35"/>
  <c r="G67" i="35"/>
  <c r="G66" i="35"/>
  <c r="G64" i="35"/>
  <c r="G63" i="35"/>
  <c r="G61" i="35"/>
  <c r="G60" i="35"/>
  <c r="G59" i="35"/>
  <c r="G57" i="35"/>
  <c r="G56" i="35"/>
  <c r="G50" i="35"/>
  <c r="G49" i="35"/>
  <c r="G47" i="35"/>
  <c r="G46" i="35"/>
  <c r="G44" i="35"/>
  <c r="G43" i="35"/>
  <c r="G41" i="35"/>
  <c r="G40" i="35"/>
  <c r="G38" i="35"/>
  <c r="G37" i="35"/>
  <c r="G35" i="35"/>
  <c r="G34" i="35"/>
  <c r="G32" i="35"/>
  <c r="G31" i="35"/>
  <c r="G29" i="35"/>
  <c r="G28" i="35"/>
  <c r="G26" i="35"/>
  <c r="G25" i="35"/>
  <c r="G23" i="35"/>
  <c r="G22" i="35"/>
  <c r="G20" i="35"/>
  <c r="G19" i="35"/>
  <c r="G17" i="35"/>
  <c r="G16" i="35"/>
  <c r="G14" i="35"/>
  <c r="G13" i="35"/>
  <c r="G12" i="35"/>
  <c r="G11" i="35"/>
  <c r="H167" i="35" l="1"/>
  <c r="H33" i="3"/>
  <c r="G57" i="37"/>
  <c r="G27" i="37"/>
  <c r="G78" i="37" l="1"/>
  <c r="F78" i="37"/>
  <c r="E78" i="37"/>
  <c r="I113" i="37"/>
  <c r="I114" i="37"/>
  <c r="G53" i="37"/>
  <c r="F57" i="37"/>
  <c r="F53" i="37" s="1"/>
  <c r="E57" i="37"/>
  <c r="E53" i="37" s="1"/>
  <c r="I55" i="37"/>
  <c r="G54" i="37"/>
  <c r="F54" i="37"/>
  <c r="E54" i="37"/>
  <c r="I112" i="37"/>
  <c r="G111" i="37"/>
  <c r="F111" i="37"/>
  <c r="G100" i="37"/>
  <c r="H112" i="37"/>
  <c r="I108" i="37"/>
  <c r="H108" i="37"/>
  <c r="G107" i="37"/>
  <c r="F107" i="37"/>
  <c r="E107" i="37"/>
  <c r="I105" i="37"/>
  <c r="H105" i="37"/>
  <c r="H104" i="37"/>
  <c r="I103" i="37"/>
  <c r="H103" i="37"/>
  <c r="I102" i="37"/>
  <c r="H102" i="37"/>
  <c r="I95" i="37"/>
  <c r="H95" i="37"/>
  <c r="I94" i="37"/>
  <c r="H94" i="37"/>
  <c r="I93" i="37"/>
  <c r="H93" i="37"/>
  <c r="I92" i="37"/>
  <c r="H92" i="37"/>
  <c r="I91" i="37"/>
  <c r="H91" i="37"/>
  <c r="I90" i="37"/>
  <c r="H90" i="37"/>
  <c r="I89" i="37"/>
  <c r="H89" i="37"/>
  <c r="I88" i="37"/>
  <c r="H88" i="37"/>
  <c r="I87" i="37"/>
  <c r="H87" i="37"/>
  <c r="I86" i="37"/>
  <c r="H86" i="37"/>
  <c r="I85" i="37"/>
  <c r="H85" i="37"/>
  <c r="I84" i="37"/>
  <c r="H84" i="37"/>
  <c r="I83" i="37"/>
  <c r="H83" i="37"/>
  <c r="I82" i="37"/>
  <c r="H82" i="37"/>
  <c r="I81" i="37"/>
  <c r="H81" i="37"/>
  <c r="I80" i="37"/>
  <c r="H80" i="37"/>
  <c r="I79" i="37"/>
  <c r="H79" i="37"/>
  <c r="E68" i="37"/>
  <c r="I76" i="37"/>
  <c r="I75" i="37"/>
  <c r="I74" i="37"/>
  <c r="I73" i="37"/>
  <c r="I72" i="37"/>
  <c r="I71" i="37"/>
  <c r="I70" i="37"/>
  <c r="G69" i="37"/>
  <c r="F69" i="37"/>
  <c r="F68" i="37" s="1"/>
  <c r="I67" i="37"/>
  <c r="H67" i="37"/>
  <c r="I66" i="37"/>
  <c r="H66" i="37"/>
  <c r="I65" i="37"/>
  <c r="H65" i="37"/>
  <c r="I64" i="37"/>
  <c r="H64" i="37"/>
  <c r="I63" i="37"/>
  <c r="H63" i="37"/>
  <c r="I62" i="37"/>
  <c r="H62" i="37"/>
  <c r="I61" i="37"/>
  <c r="H61" i="37"/>
  <c r="I60" i="37"/>
  <c r="H60" i="37"/>
  <c r="I59" i="37"/>
  <c r="H59" i="37"/>
  <c r="I58" i="37"/>
  <c r="H58" i="37"/>
  <c r="F27" i="37"/>
  <c r="F7" i="37" s="1"/>
  <c r="E27" i="37"/>
  <c r="I25" i="37"/>
  <c r="I24" i="37"/>
  <c r="I23" i="37"/>
  <c r="I22" i="37"/>
  <c r="I21" i="37"/>
  <c r="I20" i="37"/>
  <c r="I19" i="37"/>
  <c r="G18" i="37"/>
  <c r="F18" i="37"/>
  <c r="E18" i="37"/>
  <c r="I16" i="37"/>
  <c r="H16" i="37"/>
  <c r="I15" i="37"/>
  <c r="H15" i="37"/>
  <c r="I14" i="37"/>
  <c r="H14" i="37"/>
  <c r="I13" i="37"/>
  <c r="H13" i="37"/>
  <c r="I12" i="37"/>
  <c r="H12" i="37"/>
  <c r="I11" i="37"/>
  <c r="H11" i="37"/>
  <c r="I10" i="37"/>
  <c r="H10" i="37"/>
  <c r="I9" i="37"/>
  <c r="H9" i="37"/>
  <c r="G8" i="37"/>
  <c r="G7" i="37" s="1"/>
  <c r="F8" i="37"/>
  <c r="E8" i="37"/>
  <c r="I77" i="32"/>
  <c r="G20" i="32"/>
  <c r="E20" i="32"/>
  <c r="G75" i="32"/>
  <c r="G23" i="2"/>
  <c r="E23" i="2"/>
  <c r="I40" i="2"/>
  <c r="I41" i="2"/>
  <c r="G38" i="2"/>
  <c r="G8" i="36"/>
  <c r="I135" i="37"/>
  <c r="H135" i="37"/>
  <c r="G134" i="37"/>
  <c r="F134" i="37"/>
  <c r="E134" i="37"/>
  <c r="I124" i="37"/>
  <c r="H124" i="37"/>
  <c r="G123" i="37"/>
  <c r="F123" i="37"/>
  <c r="E123" i="37"/>
  <c r="G121" i="37"/>
  <c r="H113" i="37"/>
  <c r="G52" i="37"/>
  <c r="I48" i="37"/>
  <c r="H48" i="37"/>
  <c r="I47" i="37"/>
  <c r="H47" i="37"/>
  <c r="G46" i="37"/>
  <c r="F46" i="37"/>
  <c r="E46" i="37"/>
  <c r="I44" i="37"/>
  <c r="H44" i="37"/>
  <c r="I43" i="37"/>
  <c r="H43" i="37"/>
  <c r="I42" i="37"/>
  <c r="H42" i="37"/>
  <c r="I41" i="37"/>
  <c r="H41" i="37"/>
  <c r="I40" i="37"/>
  <c r="H40" i="37"/>
  <c r="I39" i="37"/>
  <c r="H39" i="37"/>
  <c r="I38" i="37"/>
  <c r="H38" i="37"/>
  <c r="I37" i="37"/>
  <c r="H37" i="37"/>
  <c r="I36" i="37"/>
  <c r="H36" i="37"/>
  <c r="I35" i="37"/>
  <c r="H35" i="37"/>
  <c r="I34" i="37"/>
  <c r="H34" i="37"/>
  <c r="I33" i="37"/>
  <c r="H33" i="37"/>
  <c r="I32" i="37"/>
  <c r="H32" i="37"/>
  <c r="I31" i="37"/>
  <c r="H31" i="37"/>
  <c r="I30" i="37"/>
  <c r="H30" i="37"/>
  <c r="I29" i="37"/>
  <c r="H29" i="37"/>
  <c r="I28" i="37"/>
  <c r="H28" i="37"/>
  <c r="G68" i="37" l="1"/>
  <c r="I54" i="37"/>
  <c r="I111" i="37"/>
  <c r="H111" i="37"/>
  <c r="H107" i="37"/>
  <c r="I78" i="37"/>
  <c r="I107" i="37"/>
  <c r="H78" i="37"/>
  <c r="I69" i="37"/>
  <c r="I8" i="37"/>
  <c r="E7" i="37"/>
  <c r="E116" i="37" s="1"/>
  <c r="F116" i="37"/>
  <c r="H27" i="37"/>
  <c r="I27" i="37"/>
  <c r="I18" i="37"/>
  <c r="H8" i="37"/>
  <c r="H46" i="37"/>
  <c r="E137" i="37"/>
  <c r="H134" i="37"/>
  <c r="I46" i="37"/>
  <c r="F137" i="37"/>
  <c r="I123" i="37"/>
  <c r="G137" i="37"/>
  <c r="I134" i="37"/>
  <c r="I68" i="37" l="1"/>
  <c r="H68" i="37"/>
  <c r="G116" i="37"/>
  <c r="G139" i="37" s="1"/>
  <c r="H53" i="37"/>
  <c r="H57" i="37"/>
  <c r="I57" i="37"/>
  <c r="I53" i="37"/>
  <c r="H137" i="37"/>
  <c r="F139" i="37"/>
  <c r="I137" i="37"/>
  <c r="I7" i="37"/>
  <c r="E139" i="37"/>
  <c r="H7" i="37"/>
  <c r="H116" i="37" l="1"/>
  <c r="I116" i="37"/>
  <c r="I139" i="37"/>
  <c r="H139" i="37"/>
  <c r="I26" i="36" l="1"/>
  <c r="I25" i="36"/>
  <c r="I27" i="2" l="1"/>
  <c r="K311" i="35"/>
  <c r="G287" i="35"/>
  <c r="G288" i="35"/>
  <c r="I31" i="36" l="1"/>
  <c r="I30" i="36"/>
  <c r="I29" i="36"/>
  <c r="I28" i="36"/>
  <c r="I27" i="36"/>
  <c r="G24" i="36"/>
  <c r="F24" i="36"/>
  <c r="F32" i="36" s="1"/>
  <c r="E24" i="36"/>
  <c r="E32" i="36" s="1"/>
  <c r="G22" i="36"/>
  <c r="I17" i="36"/>
  <c r="H17" i="36"/>
  <c r="G16" i="36"/>
  <c r="F16" i="36"/>
  <c r="E16" i="36"/>
  <c r="I13" i="36"/>
  <c r="I12" i="36"/>
  <c r="I11" i="36"/>
  <c r="E11" i="36"/>
  <c r="E8" i="36" s="1"/>
  <c r="I10" i="36"/>
  <c r="H10" i="36"/>
  <c r="F8" i="36"/>
  <c r="G6" i="36"/>
  <c r="I16" i="36" l="1"/>
  <c r="G18" i="36"/>
  <c r="E18" i="36"/>
  <c r="E34" i="36" s="1"/>
  <c r="F18" i="36"/>
  <c r="F34" i="36" s="1"/>
  <c r="I8" i="36"/>
  <c r="I24" i="36"/>
  <c r="H11" i="36"/>
  <c r="G32" i="36"/>
  <c r="I32" i="36" s="1"/>
  <c r="H8" i="36"/>
  <c r="H16" i="36"/>
  <c r="G34" i="36" l="1"/>
  <c r="I18" i="36"/>
  <c r="H18" i="36"/>
  <c r="I34" i="36" l="1"/>
  <c r="H34" i="36"/>
  <c r="E208" i="35" l="1"/>
  <c r="G208" i="35"/>
  <c r="F208" i="35"/>
  <c r="K310" i="35"/>
  <c r="K309" i="35"/>
  <c r="G33" i="7"/>
  <c r="F33" i="7"/>
  <c r="G115" i="35"/>
  <c r="G112" i="35"/>
  <c r="F125" i="35"/>
  <c r="F115" i="35"/>
  <c r="F90" i="35"/>
  <c r="F86" i="35"/>
  <c r="F76" i="35"/>
  <c r="G172" i="35"/>
  <c r="F128" i="35"/>
  <c r="F122" i="35"/>
  <c r="F119" i="35"/>
  <c r="F109" i="35"/>
  <c r="F106" i="35"/>
  <c r="F93" i="35"/>
  <c r="F83" i="35"/>
  <c r="F73" i="35"/>
  <c r="G93" i="35"/>
  <c r="G125" i="35"/>
  <c r="G76" i="35"/>
  <c r="G106" i="35"/>
  <c r="G109" i="35"/>
  <c r="G122" i="35"/>
  <c r="G83" i="35"/>
  <c r="G119" i="35"/>
  <c r="G128" i="35"/>
  <c r="G86" i="35"/>
  <c r="G90" i="35"/>
  <c r="G73" i="35"/>
  <c r="F39" i="35"/>
  <c r="F33" i="35"/>
  <c r="F30" i="35"/>
  <c r="F15" i="35"/>
  <c r="F65" i="35"/>
  <c r="F62" i="35"/>
  <c r="F69" i="35"/>
  <c r="F10" i="35"/>
  <c r="F18" i="35"/>
  <c r="F48" i="35"/>
  <c r="F36" i="35"/>
  <c r="F24" i="35"/>
  <c r="G58" i="35"/>
  <c r="G15" i="35"/>
  <c r="G39" i="35"/>
  <c r="G42" i="35"/>
  <c r="G33" i="35"/>
  <c r="G45" i="35"/>
  <c r="G55" i="35"/>
  <c r="G30" i="35"/>
  <c r="G27" i="35"/>
  <c r="G65" i="35"/>
  <c r="G62" i="35"/>
  <c r="G69" i="35"/>
  <c r="G10" i="35"/>
  <c r="G18" i="35"/>
  <c r="G48" i="35"/>
  <c r="G36" i="35"/>
  <c r="I29" i="7"/>
  <c r="I28" i="7"/>
  <c r="G50" i="2"/>
  <c r="I25" i="32"/>
  <c r="G19" i="7"/>
  <c r="G29" i="19"/>
  <c r="I7" i="19"/>
  <c r="G11" i="27"/>
  <c r="G19" i="1"/>
  <c r="I43" i="19"/>
  <c r="H43" i="19"/>
  <c r="H42" i="19"/>
  <c r="I41" i="19"/>
  <c r="H41" i="19"/>
  <c r="G40" i="19"/>
  <c r="F40" i="19"/>
  <c r="F44" i="19" s="1"/>
  <c r="E40" i="19"/>
  <c r="E44" i="19" s="1"/>
  <c r="G38" i="19"/>
  <c r="I33" i="19"/>
  <c r="H33" i="19"/>
  <c r="I32" i="19"/>
  <c r="H32" i="19"/>
  <c r="I30" i="19"/>
  <c r="H30" i="19"/>
  <c r="F29" i="19"/>
  <c r="E29" i="19"/>
  <c r="I27" i="19"/>
  <c r="I26" i="19"/>
  <c r="H26" i="19"/>
  <c r="I25" i="19"/>
  <c r="H25" i="19"/>
  <c r="I24" i="19"/>
  <c r="H24" i="19"/>
  <c r="I23" i="19"/>
  <c r="H23" i="19"/>
  <c r="I22" i="19"/>
  <c r="H22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I8" i="19"/>
  <c r="H8" i="19"/>
  <c r="G5" i="19"/>
  <c r="I80" i="32"/>
  <c r="I79" i="32"/>
  <c r="I78" i="32"/>
  <c r="I70" i="32"/>
  <c r="F69" i="32"/>
  <c r="I69" i="32" s="1"/>
  <c r="F68" i="32"/>
  <c r="I68" i="32" s="1"/>
  <c r="I67" i="32"/>
  <c r="I66" i="32"/>
  <c r="I65" i="32"/>
  <c r="F64" i="32"/>
  <c r="I64" i="32" s="1"/>
  <c r="I63" i="32"/>
  <c r="I62" i="32"/>
  <c r="I61" i="32"/>
  <c r="F60" i="32"/>
  <c r="I60" i="32" s="1"/>
  <c r="I59" i="32"/>
  <c r="I58" i="32"/>
  <c r="I57" i="32"/>
  <c r="I56" i="32"/>
  <c r="I55" i="32"/>
  <c r="H55" i="32"/>
  <c r="I54" i="32"/>
  <c r="H54" i="32"/>
  <c r="F53" i="32"/>
  <c r="I53" i="32" s="1"/>
  <c r="F52" i="32"/>
  <c r="I52" i="32" s="1"/>
  <c r="F51" i="32"/>
  <c r="I51" i="32" s="1"/>
  <c r="H50" i="32"/>
  <c r="I49" i="32"/>
  <c r="I48" i="32"/>
  <c r="H48" i="32"/>
  <c r="I47" i="32"/>
  <c r="I46" i="32"/>
  <c r="H46" i="32"/>
  <c r="H45" i="32"/>
  <c r="I44" i="32"/>
  <c r="H44" i="32"/>
  <c r="F43" i="32"/>
  <c r="I43" i="32" s="1"/>
  <c r="H42" i="32"/>
  <c r="F42" i="32"/>
  <c r="I42" i="32" s="1"/>
  <c r="I41" i="32"/>
  <c r="H40" i="32"/>
  <c r="I40" i="32"/>
  <c r="G38" i="32"/>
  <c r="H34" i="32"/>
  <c r="F34" i="32"/>
  <c r="I34" i="32" s="1"/>
  <c r="I33" i="32"/>
  <c r="F32" i="32"/>
  <c r="I31" i="32"/>
  <c r="I30" i="32"/>
  <c r="H30" i="32"/>
  <c r="I29" i="32"/>
  <c r="I28" i="32"/>
  <c r="I27" i="32"/>
  <c r="I26" i="32"/>
  <c r="H25" i="32"/>
  <c r="I24" i="32"/>
  <c r="H24" i="32"/>
  <c r="I23" i="32"/>
  <c r="H23" i="32"/>
  <c r="I22" i="32"/>
  <c r="E81" i="32"/>
  <c r="G19" i="32"/>
  <c r="I14" i="32"/>
  <c r="H14" i="32"/>
  <c r="G13" i="32"/>
  <c r="F13" i="32"/>
  <c r="E13" i="32"/>
  <c r="I11" i="32"/>
  <c r="H11" i="32"/>
  <c r="I10" i="32"/>
  <c r="H10" i="32"/>
  <c r="I9" i="32"/>
  <c r="H9" i="32"/>
  <c r="I8" i="32"/>
  <c r="H8" i="32"/>
  <c r="G7" i="32"/>
  <c r="F7" i="32"/>
  <c r="E7" i="32"/>
  <c r="G5" i="32"/>
  <c r="H29" i="19" l="1"/>
  <c r="I40" i="19"/>
  <c r="E34" i="19"/>
  <c r="E46" i="19" s="1"/>
  <c r="F34" i="19"/>
  <c r="F46" i="19" s="1"/>
  <c r="F20" i="32"/>
  <c r="F81" i="32" s="1"/>
  <c r="I13" i="32"/>
  <c r="I7" i="32"/>
  <c r="E15" i="32"/>
  <c r="E83" i="32" s="1"/>
  <c r="H20" i="32"/>
  <c r="F15" i="32"/>
  <c r="G34" i="19"/>
  <c r="G44" i="19"/>
  <c r="I29" i="19"/>
  <c r="H7" i="19"/>
  <c r="H40" i="19"/>
  <c r="G81" i="32"/>
  <c r="I32" i="32"/>
  <c r="G15" i="32"/>
  <c r="H7" i="32"/>
  <c r="H13" i="32"/>
  <c r="G46" i="19" l="1"/>
  <c r="H46" i="19" s="1"/>
  <c r="F83" i="32"/>
  <c r="I20" i="32"/>
  <c r="I46" i="19"/>
  <c r="I34" i="19"/>
  <c r="H34" i="19"/>
  <c r="I44" i="19"/>
  <c r="H44" i="19"/>
  <c r="G83" i="32"/>
  <c r="I15" i="32"/>
  <c r="H15" i="32"/>
  <c r="I81" i="32"/>
  <c r="H81" i="32"/>
  <c r="I83" i="32" l="1"/>
  <c r="H83" i="32"/>
  <c r="I49" i="2" l="1"/>
  <c r="H49" i="2"/>
  <c r="I48" i="2"/>
  <c r="I47" i="2"/>
  <c r="I46" i="2"/>
  <c r="I45" i="2"/>
  <c r="I44" i="2"/>
  <c r="I43" i="2"/>
  <c r="I42" i="2"/>
  <c r="I33" i="2"/>
  <c r="I32" i="2"/>
  <c r="I31" i="2"/>
  <c r="I30" i="2"/>
  <c r="H29" i="2"/>
  <c r="H28" i="2"/>
  <c r="F28" i="2"/>
  <c r="I28" i="2" s="1"/>
  <c r="F26" i="2"/>
  <c r="I26" i="2" s="1"/>
  <c r="H25" i="2"/>
  <c r="F25" i="2"/>
  <c r="H24" i="2"/>
  <c r="F24" i="2"/>
  <c r="E50" i="2"/>
  <c r="G21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G8" i="2"/>
  <c r="F8" i="2"/>
  <c r="F16" i="2" s="1"/>
  <c r="E8" i="2"/>
  <c r="E16" i="2" s="1"/>
  <c r="G6" i="2"/>
  <c r="E32" i="27"/>
  <c r="I31" i="27"/>
  <c r="F30" i="27"/>
  <c r="F28" i="27" s="1"/>
  <c r="I29" i="27"/>
  <c r="G28" i="27"/>
  <c r="G32" i="27" s="1"/>
  <c r="E28" i="27"/>
  <c r="G26" i="27"/>
  <c r="I21" i="27"/>
  <c r="I20" i="27"/>
  <c r="H20" i="27"/>
  <c r="I19" i="27"/>
  <c r="I18" i="27"/>
  <c r="H18" i="27"/>
  <c r="I17" i="27"/>
  <c r="H17" i="27"/>
  <c r="I16" i="27"/>
  <c r="H16" i="27"/>
  <c r="I15" i="27"/>
  <c r="H15" i="27"/>
  <c r="I14" i="27"/>
  <c r="H14" i="27"/>
  <c r="I13" i="27"/>
  <c r="H13" i="27"/>
  <c r="I12" i="27"/>
  <c r="H12" i="27"/>
  <c r="I11" i="27"/>
  <c r="F11" i="27"/>
  <c r="E11" i="27"/>
  <c r="I9" i="27"/>
  <c r="H9" i="27"/>
  <c r="G8" i="27"/>
  <c r="H8" i="27" s="1"/>
  <c r="F8" i="27"/>
  <c r="E8" i="27"/>
  <c r="G6" i="27"/>
  <c r="I20" i="7"/>
  <c r="H20" i="7"/>
  <c r="I19" i="7"/>
  <c r="E19" i="7"/>
  <c r="H19" i="7" s="1"/>
  <c r="I17" i="7"/>
  <c r="H17" i="7"/>
  <c r="H16" i="7"/>
  <c r="G16" i="7"/>
  <c r="I16" i="7" s="1"/>
  <c r="F16" i="7"/>
  <c r="E16" i="7"/>
  <c r="I14" i="7"/>
  <c r="H14" i="7"/>
  <c r="G13" i="7"/>
  <c r="I13" i="7" s="1"/>
  <c r="F13" i="7"/>
  <c r="E13" i="7"/>
  <c r="I10" i="7"/>
  <c r="H10" i="7"/>
  <c r="G9" i="7"/>
  <c r="H9" i="7" s="1"/>
  <c r="F9" i="7"/>
  <c r="E9" i="7"/>
  <c r="E8" i="7" s="1"/>
  <c r="E21" i="7" s="1"/>
  <c r="F8" i="7"/>
  <c r="F21" i="7" s="1"/>
  <c r="I26" i="1"/>
  <c r="H26" i="1"/>
  <c r="I25" i="1"/>
  <c r="H25" i="1"/>
  <c r="I24" i="1"/>
  <c r="H24" i="1"/>
  <c r="I23" i="1"/>
  <c r="H23" i="1"/>
  <c r="G22" i="1"/>
  <c r="F22" i="1"/>
  <c r="E22" i="1"/>
  <c r="I21" i="1"/>
  <c r="H21" i="1"/>
  <c r="I20" i="1"/>
  <c r="H20" i="1"/>
  <c r="F19" i="1"/>
  <c r="E19" i="1"/>
  <c r="I16" i="1"/>
  <c r="H16" i="1"/>
  <c r="G15" i="1"/>
  <c r="F15" i="1"/>
  <c r="E15" i="1"/>
  <c r="G13" i="1"/>
  <c r="F43" i="1"/>
  <c r="I43" i="1" s="1"/>
  <c r="I42" i="1"/>
  <c r="I41" i="1"/>
  <c r="I40" i="1"/>
  <c r="I39" i="1"/>
  <c r="I38" i="1"/>
  <c r="H37" i="1"/>
  <c r="F36" i="1"/>
  <c r="I36" i="1" s="1"/>
  <c r="F35" i="1"/>
  <c r="I35" i="1" s="1"/>
  <c r="F34" i="1"/>
  <c r="I34" i="1" s="1"/>
  <c r="G33" i="1"/>
  <c r="G44" i="1" s="1"/>
  <c r="E33" i="1"/>
  <c r="E44" i="1" s="1"/>
  <c r="G31" i="1"/>
  <c r="I30" i="7"/>
  <c r="G27" i="7"/>
  <c r="G31" i="7" s="1"/>
  <c r="F27" i="7"/>
  <c r="F31" i="7" s="1"/>
  <c r="E27" i="7"/>
  <c r="E31" i="7" s="1"/>
  <c r="F172" i="35"/>
  <c r="E172" i="35"/>
  <c r="K170" i="35"/>
  <c r="K169" i="35"/>
  <c r="K168" i="35"/>
  <c r="G167" i="35"/>
  <c r="F167" i="35"/>
  <c r="E167" i="35"/>
  <c r="K164" i="35"/>
  <c r="H164" i="35"/>
  <c r="K163" i="35"/>
  <c r="H163" i="35"/>
  <c r="K162" i="35"/>
  <c r="H162" i="35"/>
  <c r="K161" i="35"/>
  <c r="H161" i="35"/>
  <c r="K160" i="35"/>
  <c r="H160" i="35"/>
  <c r="G159" i="35"/>
  <c r="F159" i="35"/>
  <c r="E159" i="35"/>
  <c r="G158" i="35"/>
  <c r="K130" i="35"/>
  <c r="H130" i="35"/>
  <c r="K129" i="35"/>
  <c r="H129" i="35"/>
  <c r="H128" i="35"/>
  <c r="K128" i="35"/>
  <c r="K127" i="35"/>
  <c r="H127" i="35"/>
  <c r="K126" i="35"/>
  <c r="H126" i="35"/>
  <c r="H125" i="35"/>
  <c r="K125" i="35"/>
  <c r="K124" i="35"/>
  <c r="H124" i="35"/>
  <c r="K123" i="35"/>
  <c r="H123" i="35"/>
  <c r="H122" i="35"/>
  <c r="K122" i="35"/>
  <c r="K121" i="35"/>
  <c r="H121" i="35"/>
  <c r="K120" i="35"/>
  <c r="H120" i="35"/>
  <c r="H119" i="35"/>
  <c r="K119" i="35"/>
  <c r="K118" i="35"/>
  <c r="H118" i="35"/>
  <c r="K117" i="35"/>
  <c r="H117" i="35"/>
  <c r="K116" i="35"/>
  <c r="H116" i="35"/>
  <c r="K115" i="35"/>
  <c r="H115" i="35"/>
  <c r="K114" i="35"/>
  <c r="H114" i="35"/>
  <c r="K113" i="35"/>
  <c r="H113" i="35"/>
  <c r="H112" i="35"/>
  <c r="F112" i="35"/>
  <c r="K112" i="35" s="1"/>
  <c r="K111" i="35"/>
  <c r="H111" i="35"/>
  <c r="K110" i="35"/>
  <c r="H110" i="35"/>
  <c r="K109" i="35"/>
  <c r="H109" i="35"/>
  <c r="K108" i="35"/>
  <c r="H108" i="35"/>
  <c r="K107" i="35"/>
  <c r="H107" i="35"/>
  <c r="H106" i="35"/>
  <c r="K106" i="35"/>
  <c r="G105" i="35"/>
  <c r="K96" i="35"/>
  <c r="H96" i="35"/>
  <c r="K95" i="35"/>
  <c r="H95" i="35"/>
  <c r="K94" i="35"/>
  <c r="H94" i="35"/>
  <c r="H93" i="35"/>
  <c r="K93" i="35"/>
  <c r="K92" i="35"/>
  <c r="H92" i="35"/>
  <c r="K91" i="35"/>
  <c r="H91" i="35"/>
  <c r="H90" i="35"/>
  <c r="K90" i="35"/>
  <c r="K89" i="35"/>
  <c r="H89" i="35"/>
  <c r="K88" i="35"/>
  <c r="H88" i="35"/>
  <c r="K87" i="35"/>
  <c r="H87" i="35"/>
  <c r="H86" i="35"/>
  <c r="K86" i="35"/>
  <c r="K85" i="35"/>
  <c r="H85" i="35"/>
  <c r="K84" i="35"/>
  <c r="H84" i="35"/>
  <c r="K83" i="35"/>
  <c r="H83" i="35"/>
  <c r="K82" i="35"/>
  <c r="H82" i="35"/>
  <c r="K81" i="35"/>
  <c r="H81" i="35"/>
  <c r="H80" i="35"/>
  <c r="F80" i="35"/>
  <c r="K80" i="35" s="1"/>
  <c r="K79" i="35"/>
  <c r="H79" i="35"/>
  <c r="K78" i="35"/>
  <c r="H78" i="35"/>
  <c r="K77" i="35"/>
  <c r="H77" i="35"/>
  <c r="H76" i="35"/>
  <c r="K76" i="35"/>
  <c r="K75" i="35"/>
  <c r="H75" i="35"/>
  <c r="K74" i="35"/>
  <c r="H74" i="35"/>
  <c r="H73" i="35"/>
  <c r="K73" i="35"/>
  <c r="G72" i="35"/>
  <c r="E72" i="35"/>
  <c r="K71" i="35"/>
  <c r="H71" i="35"/>
  <c r="K70" i="35"/>
  <c r="H70" i="35"/>
  <c r="H69" i="35"/>
  <c r="K69" i="35"/>
  <c r="K68" i="35"/>
  <c r="H68" i="35"/>
  <c r="K67" i="35"/>
  <c r="H67" i="35"/>
  <c r="K66" i="35"/>
  <c r="H66" i="35"/>
  <c r="H65" i="35"/>
  <c r="K65" i="35"/>
  <c r="K64" i="35"/>
  <c r="H64" i="35"/>
  <c r="K63" i="35"/>
  <c r="H63" i="35"/>
  <c r="H62" i="35"/>
  <c r="K62" i="35"/>
  <c r="K61" i="35"/>
  <c r="H61" i="35"/>
  <c r="K60" i="35"/>
  <c r="H60" i="35"/>
  <c r="K59" i="35"/>
  <c r="H59" i="35"/>
  <c r="H58" i="35"/>
  <c r="F58" i="35"/>
  <c r="K58" i="35" s="1"/>
  <c r="K57" i="35"/>
  <c r="H57" i="35"/>
  <c r="K56" i="35"/>
  <c r="H56" i="35"/>
  <c r="H55" i="35"/>
  <c r="F55" i="35"/>
  <c r="K55" i="35" s="1"/>
  <c r="G54" i="35"/>
  <c r="K50" i="35"/>
  <c r="H50" i="35"/>
  <c r="K49" i="35"/>
  <c r="H49" i="35"/>
  <c r="H48" i="35"/>
  <c r="K48" i="35"/>
  <c r="K47" i="35"/>
  <c r="H47" i="35"/>
  <c r="K46" i="35"/>
  <c r="H46" i="35"/>
  <c r="H45" i="35"/>
  <c r="F45" i="35"/>
  <c r="K45" i="35" s="1"/>
  <c r="K44" i="35"/>
  <c r="H44" i="35"/>
  <c r="K43" i="35"/>
  <c r="H43" i="35"/>
  <c r="H42" i="35"/>
  <c r="F42" i="35"/>
  <c r="K42" i="35" s="1"/>
  <c r="K41" i="35"/>
  <c r="H41" i="35"/>
  <c r="K40" i="35"/>
  <c r="H40" i="35"/>
  <c r="H39" i="35"/>
  <c r="K39" i="35"/>
  <c r="K38" i="35"/>
  <c r="H38" i="35"/>
  <c r="K37" i="35"/>
  <c r="H37" i="35"/>
  <c r="H36" i="35"/>
  <c r="K36" i="35"/>
  <c r="K35" i="35"/>
  <c r="H35" i="35"/>
  <c r="K34" i="35"/>
  <c r="H34" i="35"/>
  <c r="H33" i="35"/>
  <c r="K33" i="35"/>
  <c r="K32" i="35"/>
  <c r="H32" i="35"/>
  <c r="K31" i="35"/>
  <c r="H31" i="35"/>
  <c r="H30" i="35"/>
  <c r="K30" i="35"/>
  <c r="K29" i="35"/>
  <c r="H29" i="35"/>
  <c r="K28" i="35"/>
  <c r="H28" i="35"/>
  <c r="H27" i="35"/>
  <c r="F27" i="35"/>
  <c r="K27" i="35" s="1"/>
  <c r="K26" i="35"/>
  <c r="H26" i="35"/>
  <c r="K25" i="35"/>
  <c r="H25" i="35"/>
  <c r="H24" i="35"/>
  <c r="K24" i="35"/>
  <c r="K23" i="35"/>
  <c r="H23" i="35"/>
  <c r="K22" i="35"/>
  <c r="H22" i="35"/>
  <c r="H21" i="35"/>
  <c r="F21" i="35"/>
  <c r="K20" i="35"/>
  <c r="H20" i="35"/>
  <c r="K19" i="35"/>
  <c r="H19" i="35"/>
  <c r="K18" i="35"/>
  <c r="H18" i="35"/>
  <c r="K17" i="35"/>
  <c r="H17" i="35"/>
  <c r="H16" i="35"/>
  <c r="K16" i="35"/>
  <c r="H15" i="35"/>
  <c r="K15" i="35"/>
  <c r="K14" i="35"/>
  <c r="H14" i="35"/>
  <c r="K13" i="35"/>
  <c r="H13" i="35"/>
  <c r="K12" i="35"/>
  <c r="H12" i="35"/>
  <c r="K11" i="35"/>
  <c r="H11" i="35"/>
  <c r="H10" i="35"/>
  <c r="K10" i="35"/>
  <c r="G9" i="35"/>
  <c r="E9" i="35"/>
  <c r="G6" i="35"/>
  <c r="K341" i="35"/>
  <c r="K340" i="35"/>
  <c r="K339" i="35"/>
  <c r="K338" i="35"/>
  <c r="K337" i="35"/>
  <c r="K336" i="35"/>
  <c r="K335" i="35"/>
  <c r="K334" i="35"/>
  <c r="K333" i="35"/>
  <c r="K332" i="35"/>
  <c r="K331" i="35"/>
  <c r="K330" i="35"/>
  <c r="K329" i="35"/>
  <c r="K328" i="35"/>
  <c r="K327" i="35"/>
  <c r="K326" i="35"/>
  <c r="K325" i="35"/>
  <c r="K324" i="35"/>
  <c r="K323" i="35"/>
  <c r="K322" i="35"/>
  <c r="K321" i="35"/>
  <c r="K320" i="35"/>
  <c r="K319" i="35"/>
  <c r="K318" i="35"/>
  <c r="K317" i="35"/>
  <c r="K316" i="35"/>
  <c r="K315" i="35"/>
  <c r="K314" i="35"/>
  <c r="K313" i="35"/>
  <c r="K312" i="35"/>
  <c r="K308" i="35"/>
  <c r="K307" i="35"/>
  <c r="K306" i="35"/>
  <c r="K305" i="35"/>
  <c r="K304" i="35"/>
  <c r="G301" i="35"/>
  <c r="K296" i="35"/>
  <c r="K295" i="35"/>
  <c r="K294" i="35"/>
  <c r="K293" i="35"/>
  <c r="K292" i="35"/>
  <c r="K291" i="35"/>
  <c r="K290" i="35"/>
  <c r="K289" i="35"/>
  <c r="K288" i="35"/>
  <c r="K287" i="35"/>
  <c r="K286" i="35"/>
  <c r="K285" i="35"/>
  <c r="K284" i="35"/>
  <c r="K283" i="35"/>
  <c r="K282" i="35"/>
  <c r="K281" i="35"/>
  <c r="K280" i="35"/>
  <c r="K279" i="35"/>
  <c r="K278" i="35"/>
  <c r="K277" i="35"/>
  <c r="K276" i="35"/>
  <c r="K275" i="35"/>
  <c r="K274" i="35"/>
  <c r="K273" i="35"/>
  <c r="K272" i="35"/>
  <c r="K271" i="35"/>
  <c r="K270" i="35"/>
  <c r="K269" i="35"/>
  <c r="K268" i="35"/>
  <c r="K267" i="35"/>
  <c r="K266" i="35"/>
  <c r="K265" i="35"/>
  <c r="K264" i="35"/>
  <c r="K263" i="35"/>
  <c r="K262" i="35"/>
  <c r="K261" i="35"/>
  <c r="K260" i="35"/>
  <c r="K259" i="35"/>
  <c r="K258" i="35"/>
  <c r="K257" i="35"/>
  <c r="K256" i="35"/>
  <c r="G253" i="35"/>
  <c r="K247" i="35"/>
  <c r="H247" i="35"/>
  <c r="H246" i="35"/>
  <c r="K245" i="35"/>
  <c r="H245" i="35"/>
  <c r="K244" i="35"/>
  <c r="H244" i="35"/>
  <c r="H243" i="35"/>
  <c r="K242" i="35"/>
  <c r="K241" i="35"/>
  <c r="H241" i="35"/>
  <c r="K240" i="35"/>
  <c r="K239" i="35"/>
  <c r="H239" i="35"/>
  <c r="K238" i="35"/>
  <c r="K237" i="35"/>
  <c r="H237" i="35"/>
  <c r="K236" i="35"/>
  <c r="H236" i="35"/>
  <c r="H235" i="35"/>
  <c r="K234" i="35"/>
  <c r="H234" i="35"/>
  <c r="K233" i="35"/>
  <c r="K232" i="35"/>
  <c r="H232" i="35"/>
  <c r="K231" i="35"/>
  <c r="H231" i="35"/>
  <c r="K230" i="35"/>
  <c r="H230" i="35"/>
  <c r="H229" i="35"/>
  <c r="H228" i="35"/>
  <c r="K227" i="35"/>
  <c r="H227" i="35"/>
  <c r="K226" i="35"/>
  <c r="H226" i="35"/>
  <c r="K225" i="35"/>
  <c r="H225" i="35"/>
  <c r="K224" i="35"/>
  <c r="H224" i="35"/>
  <c r="K223" i="35"/>
  <c r="H223" i="35"/>
  <c r="H222" i="35"/>
  <c r="H221" i="35"/>
  <c r="K220" i="35"/>
  <c r="H220" i="35"/>
  <c r="K219" i="35"/>
  <c r="H219" i="35"/>
  <c r="K218" i="35"/>
  <c r="H218" i="35"/>
  <c r="H217" i="35"/>
  <c r="H216" i="35"/>
  <c r="K215" i="35"/>
  <c r="K214" i="35"/>
  <c r="K213" i="35"/>
  <c r="K212" i="35"/>
  <c r="K211" i="35"/>
  <c r="K210" i="35"/>
  <c r="K209" i="35"/>
  <c r="G206" i="35"/>
  <c r="K201" i="35"/>
  <c r="K200" i="35"/>
  <c r="K199" i="35"/>
  <c r="K198" i="35"/>
  <c r="H197" i="35"/>
  <c r="H196" i="35"/>
  <c r="F196" i="35"/>
  <c r="K196" i="35" s="1"/>
  <c r="H195" i="35"/>
  <c r="F195" i="35"/>
  <c r="K195" i="35" s="1"/>
  <c r="H194" i="35"/>
  <c r="F194" i="35"/>
  <c r="K194" i="35" s="1"/>
  <c r="H193" i="35"/>
  <c r="F193" i="35"/>
  <c r="K193" i="35" s="1"/>
  <c r="H192" i="35"/>
  <c r="F192" i="35"/>
  <c r="K192" i="35" s="1"/>
  <c r="H191" i="35"/>
  <c r="H190" i="35"/>
  <c r="F190" i="35"/>
  <c r="K190" i="35" s="1"/>
  <c r="H189" i="35"/>
  <c r="F189" i="35"/>
  <c r="K189" i="35" s="1"/>
  <c r="H188" i="35"/>
  <c r="F188" i="35"/>
  <c r="K188" i="35" s="1"/>
  <c r="H187" i="35"/>
  <c r="F187" i="35"/>
  <c r="K187" i="35" s="1"/>
  <c r="H186" i="35"/>
  <c r="F186" i="35"/>
  <c r="K186" i="35" s="1"/>
  <c r="H185" i="35"/>
  <c r="F185" i="35"/>
  <c r="K185" i="35" s="1"/>
  <c r="H184" i="35"/>
  <c r="F184" i="35"/>
  <c r="K184" i="35" s="1"/>
  <c r="H183" i="35"/>
  <c r="F183" i="35"/>
  <c r="K182" i="35"/>
  <c r="H182" i="35"/>
  <c r="G181" i="35"/>
  <c r="E181" i="35"/>
  <c r="G179" i="35"/>
  <c r="E18" i="1" l="1"/>
  <c r="E27" i="1" s="1"/>
  <c r="E46" i="1" s="1"/>
  <c r="F18" i="1"/>
  <c r="F27" i="1" s="1"/>
  <c r="F46" i="1" s="1"/>
  <c r="I24" i="2"/>
  <c r="F23" i="2"/>
  <c r="F50" i="2" s="1"/>
  <c r="F52" i="2" s="1"/>
  <c r="I25" i="2"/>
  <c r="E52" i="2"/>
  <c r="I8" i="2"/>
  <c r="F33" i="1"/>
  <c r="F44" i="1" s="1"/>
  <c r="I44" i="1" s="1"/>
  <c r="H22" i="1"/>
  <c r="G18" i="1"/>
  <c r="H72" i="35"/>
  <c r="E8" i="35"/>
  <c r="E175" i="35" s="1"/>
  <c r="E342" i="35"/>
  <c r="E344" i="35" s="1"/>
  <c r="H181" i="35"/>
  <c r="F181" i="35"/>
  <c r="K181" i="35" s="1"/>
  <c r="H159" i="35"/>
  <c r="K21" i="35"/>
  <c r="F9" i="35"/>
  <c r="K208" i="35"/>
  <c r="K167" i="35"/>
  <c r="K159" i="35"/>
  <c r="G8" i="35"/>
  <c r="G175" i="35" s="1"/>
  <c r="H9" i="35"/>
  <c r="I8" i="27"/>
  <c r="H50" i="2"/>
  <c r="H8" i="2"/>
  <c r="G16" i="2"/>
  <c r="H23" i="2"/>
  <c r="G22" i="27"/>
  <c r="G34" i="27" s="1"/>
  <c r="H11" i="27"/>
  <c r="I28" i="27"/>
  <c r="F32" i="27"/>
  <c r="I32" i="27" s="1"/>
  <c r="F34" i="27"/>
  <c r="E22" i="27"/>
  <c r="E34" i="27" s="1"/>
  <c r="I30" i="27"/>
  <c r="G8" i="7"/>
  <c r="G21" i="7" s="1"/>
  <c r="I21" i="7" s="1"/>
  <c r="I9" i="7"/>
  <c r="H21" i="7"/>
  <c r="H8" i="7"/>
  <c r="H13" i="7"/>
  <c r="I22" i="1"/>
  <c r="H15" i="1"/>
  <c r="H19" i="1"/>
  <c r="I15" i="1"/>
  <c r="I19" i="1"/>
  <c r="H44" i="1"/>
  <c r="H33" i="1"/>
  <c r="I31" i="7"/>
  <c r="I27" i="7"/>
  <c r="F72" i="35"/>
  <c r="K72" i="35" s="1"/>
  <c r="K183" i="35"/>
  <c r="H208" i="35"/>
  <c r="G342" i="35"/>
  <c r="I18" i="1" l="1"/>
  <c r="I33" i="1"/>
  <c r="I23" i="2"/>
  <c r="I50" i="2"/>
  <c r="H175" i="35"/>
  <c r="F342" i="35"/>
  <c r="K342" i="35" s="1"/>
  <c r="F8" i="35"/>
  <c r="F175" i="35" s="1"/>
  <c r="K175" i="35" s="1"/>
  <c r="H8" i="35"/>
  <c r="I16" i="2"/>
  <c r="H16" i="2"/>
  <c r="G52" i="2"/>
  <c r="H34" i="27"/>
  <c r="I34" i="27"/>
  <c r="I22" i="27"/>
  <c r="H22" i="27"/>
  <c r="I8" i="7"/>
  <c r="G27" i="1"/>
  <c r="H18" i="1"/>
  <c r="K9" i="35"/>
  <c r="H342" i="35"/>
  <c r="G344" i="35"/>
  <c r="H27" i="1" l="1"/>
  <c r="G46" i="1"/>
  <c r="F344" i="35"/>
  <c r="K344" i="35" s="1"/>
  <c r="K8" i="35"/>
  <c r="I52" i="2"/>
  <c r="H52" i="2"/>
  <c r="I27" i="1"/>
  <c r="H344" i="35"/>
  <c r="I34" i="3" l="1"/>
  <c r="G20" i="3"/>
  <c r="E20" i="3"/>
  <c r="I10" i="3" l="1"/>
  <c r="H10" i="3"/>
  <c r="H31" i="3"/>
  <c r="I25" i="3"/>
  <c r="F24" i="3"/>
  <c r="F22" i="3"/>
  <c r="E35" i="3"/>
  <c r="I29" i="3"/>
  <c r="H28" i="3"/>
  <c r="H27" i="3"/>
  <c r="I28" i="3"/>
  <c r="H25" i="3"/>
  <c r="F20" i="3" l="1"/>
  <c r="F35" i="3" s="1"/>
  <c r="E8" i="3"/>
  <c r="E14" i="3" s="1"/>
  <c r="G18" i="3"/>
  <c r="G6" i="3"/>
  <c r="F8" i="3"/>
  <c r="G35" i="3" l="1"/>
  <c r="I32" i="3"/>
  <c r="I24" i="3"/>
  <c r="H24" i="3"/>
  <c r="I23" i="3"/>
  <c r="I22" i="3"/>
  <c r="H22" i="3"/>
  <c r="H21" i="3"/>
  <c r="I33" i="3"/>
  <c r="H32" i="3"/>
  <c r="I30" i="3"/>
  <c r="H30" i="3"/>
  <c r="H26" i="3"/>
  <c r="I13" i="3"/>
  <c r="H13" i="3"/>
  <c r="I12" i="3"/>
  <c r="H12" i="3"/>
  <c r="I11" i="3"/>
  <c r="H11" i="3"/>
  <c r="I9" i="3"/>
  <c r="H9" i="3"/>
  <c r="F14" i="3"/>
  <c r="G8" i="3"/>
  <c r="I8" i="3" s="1"/>
  <c r="F37" i="3" l="1"/>
  <c r="I35" i="3"/>
  <c r="I20" i="3"/>
  <c r="H8" i="3"/>
  <c r="H46" i="1" l="1"/>
  <c r="I46" i="1" l="1"/>
  <c r="E33" i="7" l="1"/>
  <c r="G14" i="3" l="1"/>
  <c r="G37" i="3" s="1"/>
  <c r="I14" i="3" l="1"/>
  <c r="H14" i="3"/>
  <c r="I37" i="3" l="1"/>
  <c r="H20" i="3" l="1"/>
  <c r="E37" i="3" l="1"/>
  <c r="H37" i="3" s="1"/>
  <c r="H35" i="3"/>
  <c r="I33" i="7" l="1"/>
  <c r="H33" i="7"/>
</calcChain>
</file>

<file path=xl/sharedStrings.xml><?xml version="1.0" encoding="utf-8"?>
<sst xmlns="http://schemas.openxmlformats.org/spreadsheetml/2006/main" count="2578" uniqueCount="918">
  <si>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</si>
  <si>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</si>
  <si>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</si>
  <si>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</si>
  <si>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</si>
  <si>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</si>
  <si>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</si>
  <si>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</si>
  <si>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</si>
  <si>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</si>
  <si>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</si>
  <si>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</si>
  <si>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</si>
  <si>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</si>
  <si>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</si>
  <si>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</si>
  <si>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</si>
  <si>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</si>
  <si>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</si>
  <si>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</si>
  <si>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</si>
  <si>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</si>
  <si>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</si>
  <si>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</si>
  <si>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</si>
  <si>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</si>
  <si>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</si>
  <si>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</si>
  <si>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</si>
  <si>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</si>
  <si>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</si>
  <si>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</si>
  <si>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</si>
  <si>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</si>
  <si>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</si>
  <si>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</si>
  <si>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</si>
  <si>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</si>
  <si>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</si>
  <si>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</si>
  <si>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</si>
  <si>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</si>
  <si>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</si>
  <si>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</si>
  <si>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</si>
  <si>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</si>
  <si>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</si>
  <si>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</si>
  <si>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</si>
  <si>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</si>
  <si>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</si>
  <si>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</si>
  <si>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</si>
  <si>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</si>
  <si>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</si>
  <si>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</si>
  <si>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</si>
  <si>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</si>
  <si>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</si>
  <si>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</si>
  <si>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</si>
  <si>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</si>
  <si>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</si>
  <si>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</si>
  <si>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</si>
  <si>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</si>
  <si>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</si>
  <si>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</si>
  <si>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</si>
  <si>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</si>
  <si>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</si>
  <si>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</si>
  <si>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</si>
  <si>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</si>
  <si>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</si>
  <si>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</si>
  <si>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</si>
  <si>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</si>
  <si>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</si>
  <si>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</si>
  <si>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</si>
  <si>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</si>
  <si>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</si>
  <si>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</si>
  <si>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</si>
  <si>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</si>
  <si>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</si>
  <si>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</si>
  <si>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</si>
  <si>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</si>
  <si>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</si>
  <si>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</si>
  <si>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</si>
  <si>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</si>
  <si>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</si>
  <si>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</si>
  <si>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</si>
  <si>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</si>
  <si>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</si>
  <si>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</si>
  <si>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</si>
  <si>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</si>
  <si>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</si>
  <si>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</si>
  <si>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</si>
  <si>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</si>
  <si>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</si>
  <si>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</si>
  <si>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</si>
  <si>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</si>
  <si>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</si>
  <si>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</si>
  <si>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</si>
  <si>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</si>
  <si>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</si>
  <si>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</si>
  <si>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</si>
  <si>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</si>
  <si>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</si>
  <si>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</si>
  <si>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</si>
  <si>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</si>
  <si>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</si>
  <si>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</si>
  <si>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</si>
  <si>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</si>
  <si>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</si>
  <si>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</si>
  <si>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</si>
  <si>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</si>
  <si>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</si>
  <si>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</si>
  <si>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</si>
  <si>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</si>
  <si>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</si>
  <si>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</si>
  <si>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</si>
  <si>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</si>
  <si>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</si>
  <si>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</si>
  <si>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</si>
  <si>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</si>
  <si>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</si>
  <si>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</si>
  <si>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</si>
  <si>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</si>
  <si>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</si>
  <si>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</si>
  <si>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</si>
  <si>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</si>
  <si>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</si>
  <si>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</si>
  <si>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</si>
  <si>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</si>
  <si>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</si>
  <si>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</si>
  <si>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</si>
  <si>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</si>
  <si>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</si>
  <si>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</si>
  <si>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</si>
  <si>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</si>
  <si>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</si>
  <si>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</si>
  <si>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</si>
  <si>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</si>
  <si>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</si>
  <si>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</si>
  <si>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</si>
  <si>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</si>
  <si>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</si>
  <si>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</si>
  <si>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</si>
  <si>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</si>
  <si>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</si>
  <si>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</si>
  <si>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</si>
  <si>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</si>
  <si>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</si>
  <si>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</si>
  <si>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</si>
  <si>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</si>
  <si>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</si>
  <si>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</si>
  <si>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</si>
  <si>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</si>
  <si>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</si>
  <si>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</si>
  <si>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</si>
  <si>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</si>
  <si>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</si>
  <si>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</si>
  <si>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</si>
  <si>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</si>
  <si>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0931</t>
  </si>
  <si>
    <t>911</t>
  </si>
  <si>
    <t>0922</t>
  </si>
  <si>
    <t>odbor právních služeb ÚMČ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</si>
  <si>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</si>
  <si>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</si>
  <si>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</si>
  <si>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</si>
  <si>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</si>
  <si>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</si>
  <si>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</si>
  <si>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</si>
  <si>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</si>
  <si>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>úklid exkrementů</t>
  </si>
  <si>
    <t>odbor územního rozvoje a výstavby ÚMČ</t>
  </si>
  <si>
    <t>55</t>
  </si>
  <si>
    <t>Návrh</t>
  </si>
  <si>
    <t>v %</t>
  </si>
  <si>
    <t>(v tis. Kč)</t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</si>
  <si>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</si>
  <si>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</si>
  <si>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</si>
  <si>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</si>
  <si>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</si>
  <si>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</si>
  <si>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</si>
  <si>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</si>
  <si>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</si>
  <si>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</si>
  <si>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</si>
  <si>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</si>
  <si>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</si>
  <si>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</si>
  <si>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</si>
  <si>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</si>
  <si>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</si>
  <si>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odbor kultury, sportu, mládeže a památkové péče ÚMČ</t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</si>
  <si>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</si>
  <si>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</si>
  <si>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</si>
  <si>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</si>
  <si>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</si>
  <si>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</si>
  <si>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</si>
  <si>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</si>
  <si>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</si>
  <si>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</si>
  <si>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</si>
  <si>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</si>
  <si>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</si>
  <si>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</si>
  <si>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</si>
  <si>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</si>
  <si>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</si>
  <si>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</si>
  <si>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</si>
  <si>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</si>
  <si>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</si>
  <si>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</si>
  <si>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</si>
  <si>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</si>
  <si>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</si>
  <si>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</si>
  <si>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</si>
  <si>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</si>
  <si>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</si>
  <si>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</si>
  <si>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</si>
  <si>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</si>
  <si>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</si>
  <si>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</si>
  <si>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refundace</t>
  </si>
  <si>
    <t>pol. 5029 - ostatní platby za provedenou práci j.n.</t>
  </si>
  <si>
    <t>Čistá osmička</t>
  </si>
  <si>
    <t>2212 - silnice údržba</t>
  </si>
  <si>
    <t>kulturní dům "LÁDVÍ"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</si>
  <si>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</si>
  <si>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</si>
  <si>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</si>
  <si>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</si>
  <si>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3315 - činnost muzeí a galerií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</si>
  <si>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</si>
  <si>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</si>
  <si>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</si>
  <si>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</si>
  <si>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</si>
  <si>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</si>
  <si>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</si>
  <si>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</si>
  <si>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</si>
  <si>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</si>
  <si>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</si>
  <si>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</si>
  <si>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</si>
  <si>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pronájem</t>
  </si>
  <si>
    <t>pol. 5164 - pronájem</t>
  </si>
  <si>
    <t>5512 - ochrana obyvatelstva</t>
  </si>
  <si>
    <t>5213 - krizová opatření</t>
  </si>
  <si>
    <t>rezerva na krizové situace</t>
  </si>
  <si>
    <t>z toho: účelový příspěvek na energie vč. platů topičů, vodné a stočné</t>
  </si>
  <si>
    <t>odbor sociálních věcí a zdravotnictví ÚMČ</t>
  </si>
  <si>
    <t>0825</t>
  </si>
  <si>
    <t>odbor sociálně právní ochrany dětí ÚMČ</t>
  </si>
  <si>
    <t>plánování a rozvoj</t>
  </si>
  <si>
    <t>agenda 21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</si>
  <si>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</si>
  <si>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</si>
  <si>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</si>
  <si>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</si>
  <si>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</si>
  <si>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</si>
  <si>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</si>
  <si>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</si>
  <si>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</si>
  <si>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</si>
  <si>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</si>
  <si>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péče o památkové zóny, drobná umělecká díla</t>
  </si>
  <si>
    <t>elektrická energie VO parkoviště Nekvasilova, osvětlení parku Krakov, kašna V Holešovičkách</t>
  </si>
  <si>
    <t>Rozpočet</t>
  </si>
  <si>
    <t>po změnách</t>
  </si>
  <si>
    <t>Plnění</t>
  </si>
  <si>
    <t xml:space="preserve">rozpočtu </t>
  </si>
  <si>
    <t xml:space="preserve">Plnění </t>
  </si>
  <si>
    <t>k SR</t>
  </si>
  <si>
    <t>k RZ</t>
  </si>
  <si>
    <t>po změnách (RZ)</t>
  </si>
  <si>
    <t>Kapitálové výdaje:</t>
  </si>
  <si>
    <t>Hala J. Mahora</t>
  </si>
  <si>
    <t>Kapitálové výdaje celkem</t>
  </si>
  <si>
    <t>Kapitola 01 - rozvoj obce celkem</t>
  </si>
  <si>
    <t>Realizace fontány Žabák</t>
  </si>
  <si>
    <t>020116</t>
  </si>
  <si>
    <t>021018</t>
  </si>
  <si>
    <t>Revitalizace prostr. na pozemku na parc. č. 2730/1 a 2730/3, Rokytka</t>
  </si>
  <si>
    <t>021216</t>
  </si>
  <si>
    <t>Revitalizace ploch malého rozsahu vč. PD</t>
  </si>
  <si>
    <t>odbor dopravy ÚMČ</t>
  </si>
  <si>
    <t>030222</t>
  </si>
  <si>
    <t>Vybudování parkovacích stání Řešovská</t>
  </si>
  <si>
    <t>030322</t>
  </si>
  <si>
    <t>Revitalizace parkovací plochy v ul. Havlínova</t>
  </si>
  <si>
    <t>030323</t>
  </si>
  <si>
    <t>Vybudování parkovacích stání Střekovská</t>
  </si>
  <si>
    <t>Kapitola 03 - doprava celkem</t>
  </si>
  <si>
    <t>030422</t>
  </si>
  <si>
    <t>A2: Rekonstrukce cyklostezky, Šaldova-Negrelliho viadukt</t>
  </si>
  <si>
    <t>Dětský dopravní park Kaňkovského</t>
  </si>
  <si>
    <t>Projektová příprava investičních záměrů</t>
  </si>
  <si>
    <t>3111 - mateřské školy</t>
  </si>
  <si>
    <t>Servisní středisko pro správu svěř. majetku (SeS) MČ Praha 8</t>
  </si>
  <si>
    <t>Kapitola 04 - školství, mládež a sport celkem</t>
  </si>
  <si>
    <t>ZŠ BH Na Korábě - PD - půdní vestavba</t>
  </si>
  <si>
    <t>ZŠ BH Zenklova - PD - půdní vestavba</t>
  </si>
  <si>
    <t>ZŠ Palmovka (Heydukova) - PD - půdní vestavba</t>
  </si>
  <si>
    <t>MŠ U Sluncové - PD - přístavba objektu školky</t>
  </si>
  <si>
    <r>
      <t xml:space="preserve"> </t>
    </r>
    <r>
      <rPr>
        <b/>
        <sz val="12"/>
        <rFont val="Arial CE"/>
        <charset val="238"/>
      </rPr>
      <t>Běžné (neinvestiční) a kapitálové (investiční) výdaje</t>
    </r>
  </si>
  <si>
    <t>odbor sociálních věcí a zdravotnoctví ÚMČ</t>
  </si>
  <si>
    <t xml:space="preserve">3523 - odborné léčebné ústavy </t>
  </si>
  <si>
    <t>4351 - osobní asist., peč.služba a podpora samost.bydlení</t>
  </si>
  <si>
    <t>Kapitola 05 - zdravotnictví a sociální oblast celkem</t>
  </si>
  <si>
    <t>Kapitola 06 - kultura a cestovní ruch celkem</t>
  </si>
  <si>
    <t>odbor bezpečnosti a krizového řízení ÚMČ</t>
  </si>
  <si>
    <t xml:space="preserve">5212 - ochrana obyvatelstva </t>
  </si>
  <si>
    <t>Kapitola 07 -  bezpečnost celkem</t>
  </si>
  <si>
    <t>080421</t>
  </si>
  <si>
    <t>081220</t>
  </si>
  <si>
    <t>Technické zhodnocení MČ Praha 8</t>
  </si>
  <si>
    <t>080916</t>
  </si>
  <si>
    <t>Kapitola 08 - hospodářství celkem</t>
  </si>
  <si>
    <t>Obnova fontány "Prameník" a plastiky "Žábák" na sídlišti Ďáblice</t>
  </si>
  <si>
    <t>odbor informatiky ÚMČ</t>
  </si>
  <si>
    <t>Revitalizace parku Dlážděnka</t>
  </si>
  <si>
    <t>Kapitola 09 - vnitřní správa celkem</t>
  </si>
  <si>
    <t xml:space="preserve">Investiční rezerva (ZJ 953) </t>
  </si>
  <si>
    <t>6409 - ostatní činnosti jinde nezařazené</t>
  </si>
  <si>
    <t>Kapitola 10 -  pokladní správa celkem</t>
  </si>
  <si>
    <t>Obměna serverové infrastruktury</t>
  </si>
  <si>
    <t>Obměna firewall</t>
  </si>
  <si>
    <t>010124</t>
  </si>
  <si>
    <t>010224</t>
  </si>
  <si>
    <t>010220</t>
  </si>
  <si>
    <t>Výstavba nové ZŠ na Rohanském ostrově</t>
  </si>
  <si>
    <t>010222</t>
  </si>
  <si>
    <t>Fontána vychovatelna</t>
  </si>
  <si>
    <t>Investiční rezerva z prostředků z FR</t>
  </si>
  <si>
    <t xml:space="preserve">6409 - ostatní činnosti jinde nezařazené </t>
  </si>
  <si>
    <t>Chodníkový program - spolupráce MHMP</t>
  </si>
  <si>
    <t>030124</t>
  </si>
  <si>
    <t>030224</t>
  </si>
  <si>
    <t>030324</t>
  </si>
  <si>
    <t>030524</t>
  </si>
  <si>
    <t>090224</t>
  </si>
  <si>
    <t>090324</t>
  </si>
  <si>
    <t>091416</t>
  </si>
  <si>
    <t>3613 - nebytové hospodářství</t>
  </si>
  <si>
    <t>080224</t>
  </si>
  <si>
    <t>080324</t>
  </si>
  <si>
    <t>080424</t>
  </si>
  <si>
    <t>505</t>
  </si>
  <si>
    <t>040624</t>
  </si>
  <si>
    <t>040724</t>
  </si>
  <si>
    <t>040824</t>
  </si>
  <si>
    <t>040924</t>
  </si>
  <si>
    <t>041024</t>
  </si>
  <si>
    <t>041124</t>
  </si>
  <si>
    <t>041224</t>
  </si>
  <si>
    <t>043424</t>
  </si>
  <si>
    <t>043824</t>
  </si>
  <si>
    <t>043924</t>
  </si>
  <si>
    <t>044024</t>
  </si>
  <si>
    <t>0403</t>
  </si>
  <si>
    <t>odbor ekonomický</t>
  </si>
  <si>
    <t>dotace na sport, kulturu, zravodtnictví</t>
  </si>
  <si>
    <t>6409 - ostatní činnost j.n.</t>
  </si>
  <si>
    <t>na rok 2025</t>
  </si>
  <si>
    <t>odd. plánování a rozvoje</t>
  </si>
  <si>
    <t xml:space="preserve">odd. Fondu rozvoje </t>
  </si>
  <si>
    <t xml:space="preserve">odd. projekční a realizační kancelář </t>
  </si>
  <si>
    <t xml:space="preserve">           s výchovou a vzděláváním mládeže</t>
  </si>
  <si>
    <t>dotace na volnoč. aktivity dětí a mládeže</t>
  </si>
  <si>
    <t>SPOD / SP</t>
  </si>
  <si>
    <t>4349 - ost. soc. péče a pomoc ost. skupinám obyvatel.</t>
  </si>
  <si>
    <t>odbor kultury, sportu, mládeže a péče o památky ÚMČ</t>
  </si>
  <si>
    <t>612</t>
  </si>
  <si>
    <t>společnost přátel divadla Jiskra</t>
  </si>
  <si>
    <t>dar Romodromu na pořádání hudebního festivalu 2025</t>
  </si>
  <si>
    <t xml:space="preserve">činnost odboru </t>
  </si>
  <si>
    <t>1013</t>
  </si>
  <si>
    <t>odbor hospodářské správy ÚMČ</t>
  </si>
  <si>
    <t>pol. 5195 - odvody za neplnění povinnosti zaměstnávat zdr. postižené</t>
  </si>
  <si>
    <t>pol. 5660 - neinvest. půjčené prostř. FO (zaměstnanecké půjčky)</t>
  </si>
  <si>
    <t>0913</t>
  </si>
  <si>
    <t>pol. 5133 - léky a zdravotnický materiál</t>
  </si>
  <si>
    <t>Projektová dokumentace - Rekonstrukce náměstí Ládví</t>
  </si>
  <si>
    <t>128128</t>
  </si>
  <si>
    <t>Výstavba podzemních kontejnerů II. etapa - inženýring (PD)</t>
  </si>
  <si>
    <t>PD - revitalizace parku Dlážděnka (nauč. Stezka)</t>
  </si>
  <si>
    <t>020125</t>
  </si>
  <si>
    <t>Výtlukový program - opravy malých výtluků</t>
  </si>
  <si>
    <t>Pěší zóna Thámova - instalace zasouvacích sloupků</t>
  </si>
  <si>
    <t>030125</t>
  </si>
  <si>
    <t>Oprava schodiště a chodníku při ZŠ Ústavní</t>
  </si>
  <si>
    <t>030325</t>
  </si>
  <si>
    <t>Vybudování parkovacích stání Štětínská</t>
  </si>
  <si>
    <t>030225</t>
  </si>
  <si>
    <t>Vybudování parkovacích stání Hnězdenská</t>
  </si>
  <si>
    <t>Rozšíření denního stacionáře + úprava uzavřeného patra</t>
  </si>
  <si>
    <t>Rekonstrukce objektu a zahrady Mirovická 6 a PD</t>
  </si>
  <si>
    <t>Vytvoření repliky sochy Žabáka</t>
  </si>
  <si>
    <t>Studie a projektová příprava revitalizace stráně mezi Löwitovým mlýnem a Zámeckým pivovarem</t>
  </si>
  <si>
    <t>Plastika Prameník</t>
  </si>
  <si>
    <t>3319 - ostatní záležitosti kultury</t>
  </si>
  <si>
    <t>3326 - poříz.,zach.a obnova hodnot MK, nár. a hist.pověd.</t>
  </si>
  <si>
    <t>Nákup osobního automobilu</t>
  </si>
  <si>
    <t>PD - Rekonstrukce oken</t>
  </si>
  <si>
    <t>090125</t>
  </si>
  <si>
    <t>NIS 2 - Kyberbezpečnost</t>
  </si>
  <si>
    <t>Přístupový systém U Meteoru 8</t>
  </si>
  <si>
    <t>090225</t>
  </si>
  <si>
    <t>Projektová příprava - MČ Praha 8</t>
  </si>
  <si>
    <t>Projektová příprava pro dětskou skupinu Hrubého</t>
  </si>
  <si>
    <t>Rekonstrukce Kolpingova domu</t>
  </si>
  <si>
    <t>Rekonstrukce nákladního výtahu Taussigova 1172/1</t>
  </si>
  <si>
    <t>Rekonstrukce kaple Bohnického hřbitova</t>
  </si>
  <si>
    <t xml:space="preserve">S.E.N. rekonstrukce střechy Burešova 1151/12  </t>
  </si>
  <si>
    <t>Výměna výtahů 2 x 500 kg</t>
  </si>
  <si>
    <t>082524</t>
  </si>
  <si>
    <t>083124</t>
  </si>
  <si>
    <t>080125</t>
  </si>
  <si>
    <t>080225</t>
  </si>
  <si>
    <t>080325</t>
  </si>
  <si>
    <t>080425</t>
  </si>
  <si>
    <t>080525</t>
  </si>
  <si>
    <t>080625</t>
  </si>
  <si>
    <t>Neb. prostor - budova čp. 2179 vč. Pozemku nad budovou na adrese Palmovka 6a P8</t>
  </si>
  <si>
    <t xml:space="preserve">Neb. prostor - jednotka č.p.2530/145 vč. př.spolu. pod. adr. Zenklova 23 P8 </t>
  </si>
  <si>
    <t>Nekvasilova 625/2 - Klimatizace - do 3 nebyt.prostorů</t>
  </si>
  <si>
    <t>Rekonstrukce NP Březinova 513/2, k. ú. Karlín</t>
  </si>
  <si>
    <t>PD - dětská skupina Křižíkova 165/45</t>
  </si>
  <si>
    <t>PD - dětská skupina Zenklova 526/27</t>
  </si>
  <si>
    <t>Bulovka - výroba a mont.schodiště a zábra</t>
  </si>
  <si>
    <t>Rekonstrukce NP - Křižíkova 45</t>
  </si>
  <si>
    <t xml:space="preserve">Rekonstrukce NP pro dětskou skupinu Zenklova 27 </t>
  </si>
  <si>
    <t>Rekonstrukce NP pro dětskou skupinu Zenklova 23</t>
  </si>
  <si>
    <t>Rekonstrukce NP pro dětskou skupinu Palmovka 6a</t>
  </si>
  <si>
    <t>Rekonstrukce NP pro dětskou skupinu Nekvasilova 2</t>
  </si>
  <si>
    <t>Rekonstrukce NP pro dětskou skupinu Draháň</t>
  </si>
  <si>
    <t xml:space="preserve">081924  </t>
  </si>
  <si>
    <t>040125</t>
  </si>
  <si>
    <t>040225</t>
  </si>
  <si>
    <t>040325</t>
  </si>
  <si>
    <t>040425</t>
  </si>
  <si>
    <t>040525</t>
  </si>
  <si>
    <t>040625</t>
  </si>
  <si>
    <t>040725</t>
  </si>
  <si>
    <t>040825</t>
  </si>
  <si>
    <t>040925</t>
  </si>
  <si>
    <t>041025</t>
  </si>
  <si>
    <t>041125</t>
  </si>
  <si>
    <t>041225</t>
  </si>
  <si>
    <t>041325</t>
  </si>
  <si>
    <t>041425</t>
  </si>
  <si>
    <t>041525</t>
  </si>
  <si>
    <t>041625</t>
  </si>
  <si>
    <t>ZŠ a MŠ Petra Strozziho - 2x kotel do ŠJ</t>
  </si>
  <si>
    <t>MŠ Chabařovická - 3x mlžítko</t>
  </si>
  <si>
    <t>MŠ Korycanská - 2x IT tabule</t>
  </si>
  <si>
    <t>ZŠ Glowackého - Interaktivní panely</t>
  </si>
  <si>
    <t>ZŠ Žernosecká - 3x interaktivní projektory</t>
  </si>
  <si>
    <t>KD Ládví - PD - revitalizace předprostoru KD</t>
  </si>
  <si>
    <t>046524</t>
  </si>
  <si>
    <t>047924</t>
  </si>
  <si>
    <t>048424</t>
  </si>
  <si>
    <t>MŠ Sokolovská - výměna povrchu pod herními prvky</t>
  </si>
  <si>
    <t>041725</t>
  </si>
  <si>
    <t>041825</t>
  </si>
  <si>
    <t>041925</t>
  </si>
  <si>
    <t>042025</t>
  </si>
  <si>
    <t>042125</t>
  </si>
  <si>
    <t>042225</t>
  </si>
  <si>
    <t>042325</t>
  </si>
  <si>
    <t>042425</t>
  </si>
  <si>
    <t>042525</t>
  </si>
  <si>
    <t>042625</t>
  </si>
  <si>
    <t>042725</t>
  </si>
  <si>
    <t>042825</t>
  </si>
  <si>
    <t>042925</t>
  </si>
  <si>
    <t>043025</t>
  </si>
  <si>
    <t>043125</t>
  </si>
  <si>
    <t>043225</t>
  </si>
  <si>
    <t>043325</t>
  </si>
  <si>
    <t>043425</t>
  </si>
  <si>
    <t>043525</t>
  </si>
  <si>
    <t>043625</t>
  </si>
  <si>
    <t>043725</t>
  </si>
  <si>
    <t>043825</t>
  </si>
  <si>
    <t>043925</t>
  </si>
  <si>
    <t>044025</t>
  </si>
  <si>
    <t>044125</t>
  </si>
  <si>
    <t>044225</t>
  </si>
  <si>
    <t>044325</t>
  </si>
  <si>
    <t>044425</t>
  </si>
  <si>
    <t>044525</t>
  </si>
  <si>
    <t>044625</t>
  </si>
  <si>
    <t>ZŠ Hovorčovická - 2x plynový kotel</t>
  </si>
  <si>
    <t xml:space="preserve">3429 - ostatní zájmová činnost a rekreace </t>
  </si>
  <si>
    <t>PD Skatepark Bohnice</t>
  </si>
  <si>
    <t>044725</t>
  </si>
  <si>
    <t>044825</t>
  </si>
  <si>
    <t>Transportní vozík PRESTO Pol. Mazurská</t>
  </si>
  <si>
    <t>Rekonstrukce ordinace RTG, 2.NP Pol. Mazurská</t>
  </si>
  <si>
    <t>080725</t>
  </si>
  <si>
    <t>Vybudování SDK příčky a instalace venkovní stříšky</t>
  </si>
  <si>
    <t>080925</t>
  </si>
  <si>
    <t>Výměna 2 osobních výtahů 2 x 500 kg</t>
  </si>
  <si>
    <t>pol. 5171 - opravy a udržování (hardware)</t>
  </si>
  <si>
    <t>020425</t>
  </si>
  <si>
    <t>Zastínění pískovišť na dětských hřištích</t>
  </si>
  <si>
    <t>Výsadba stromořadí v k. ú. Kobylisy</t>
  </si>
  <si>
    <t>Dětské hřiště v parku Dlážděnka</t>
  </si>
  <si>
    <t>Úprava zpevněné pochozí cesty v ulici Davídkova</t>
  </si>
  <si>
    <t>Zm.povr.u příst.cesty k domu v ul.Šimůnkova1685/22</t>
  </si>
  <si>
    <t>Vybudování pítek-psí louka U Meteoru, DH Burešova</t>
  </si>
  <si>
    <t>020225</t>
  </si>
  <si>
    <t>Zhot.nových záhonů na pozemcích MČ P8</t>
  </si>
  <si>
    <t>020325</t>
  </si>
  <si>
    <t>Revitalizace třešňového sadu v ul. Na Truhlářce</t>
  </si>
  <si>
    <t xml:space="preserve">Úprava bezmotorové komunikace A2 a A26 </t>
  </si>
  <si>
    <t>neinvestiční dotace</t>
  </si>
  <si>
    <t>Rozšíření a dispoziční změny v objektu GC Benákova</t>
  </si>
  <si>
    <t>621</t>
  </si>
  <si>
    <t>propagace Centra Palmovka</t>
  </si>
  <si>
    <t>činnost OŠ, tj. např. praktické cvičení - aktivní střelec, požár, první pomoc</t>
  </si>
  <si>
    <t>045625</t>
  </si>
  <si>
    <t>ZŠ a MŠ P. Strozziho - elektrická pánev do ŠK</t>
  </si>
  <si>
    <t>045725</t>
  </si>
  <si>
    <t>ZŠ a MŠ P. Strozziho - kotel do ŠK</t>
  </si>
  <si>
    <t>82122046824</t>
  </si>
  <si>
    <t>ZŠ P. Strozziho - výstavba nového pavilonu ZŠ</t>
  </si>
  <si>
    <t>MŠ Na Korábě, Lindnerova - polytechnická učebna</t>
  </si>
  <si>
    <t>044925</t>
  </si>
  <si>
    <t>045025</t>
  </si>
  <si>
    <t>045125</t>
  </si>
  <si>
    <t>045225</t>
  </si>
  <si>
    <t>045525</t>
  </si>
  <si>
    <t>045825</t>
  </si>
  <si>
    <t>ZŠ Lopez - Libčická - zkapcitnění učeben</t>
  </si>
  <si>
    <t>045925</t>
  </si>
  <si>
    <t>046025</t>
  </si>
  <si>
    <t>ZŠ Ústavní - oddělení zásobníku Lapol ve ŠK</t>
  </si>
  <si>
    <t>046125</t>
  </si>
  <si>
    <t>046225</t>
  </si>
  <si>
    <t>MŠ Kotlaska - instalace venkovních žaluzií</t>
  </si>
  <si>
    <t>046325</t>
  </si>
  <si>
    <t>ZŠ Žernosecká - instalace venkovních žaluzií</t>
  </si>
  <si>
    <t>046425</t>
  </si>
  <si>
    <t>046525</t>
  </si>
  <si>
    <t>046625</t>
  </si>
  <si>
    <t>046725</t>
  </si>
  <si>
    <t>047023</t>
  </si>
  <si>
    <t>ZŠ a MŠ Lyčkovo nám. - TV, ŠJ, ŠK</t>
  </si>
  <si>
    <t>048824</t>
  </si>
  <si>
    <t>048924</t>
  </si>
  <si>
    <t>049124</t>
  </si>
  <si>
    <t>ZŠ Ústavní - PD - přecenění hřiště</t>
  </si>
  <si>
    <t>finanční vypořádání - BV</t>
  </si>
  <si>
    <t>6402 - finanční vypořádání</t>
  </si>
  <si>
    <t>ZŠ a MŠ Lyčkovo nám. - výstavba tělocvičny, ŠKaŠJ</t>
  </si>
  <si>
    <t>6363 - převody vlastním fondům v rozpočtech územní úrovně</t>
  </si>
  <si>
    <t>Reko. a přístavba budovy v užívání MP  HMP</t>
  </si>
  <si>
    <t>Promenáda Rokytka</t>
  </si>
  <si>
    <t>Poliklinika Mazurská - S.E.N. pomocí obnovit. zdrojů</t>
  </si>
  <si>
    <t>Výměna nákladního  výtahu - na evakuační Bínova 10</t>
  </si>
  <si>
    <t>Rekonstrukce objektu bez č.p./č.e. Elsnicovo nám.</t>
  </si>
  <si>
    <t>Rekonstrukce objektu bez č.p./č.e. Karlínské nám.</t>
  </si>
  <si>
    <t>Rek.nebyt.prostor pro zaříz.předšk.vzděl-dět.sk.</t>
  </si>
  <si>
    <t xml:space="preserve">Vybavení prostor v části objektu poliklinika Mazurská </t>
  </si>
  <si>
    <t>3639 - kom. služby a územní rozvoj j. n.</t>
  </si>
  <si>
    <t>nákup SW a ostatního program. vybavení</t>
  </si>
  <si>
    <t>právní služby, poskyt. náhrady, sankce</t>
  </si>
  <si>
    <t>technické konto</t>
  </si>
  <si>
    <t>náhrada na účet ZČ</t>
  </si>
  <si>
    <t>6330 - převody vl. fondům v rozpočtech územní úrovně</t>
  </si>
  <si>
    <t>020625</t>
  </si>
  <si>
    <t>sociální nadační fond</t>
  </si>
  <si>
    <t>4349 - ostatní soc. péče a pomoc ostatním skup. fyz. osob</t>
  </si>
  <si>
    <t>020525</t>
  </si>
  <si>
    <t>Úprava zpev.pochozí cesty v ulici Davídkova1640/1</t>
  </si>
  <si>
    <t>Vybud. zpevněných pochozích pěšin u OC Krakov</t>
  </si>
  <si>
    <t>Zhot. 4 květnatých luk na pozemcích MČ P8</t>
  </si>
  <si>
    <t>Vybud. zpevněných poch. pěšin v k.ú. Kobyl.</t>
  </si>
  <si>
    <t>ostatní kulturní činnost</t>
  </si>
  <si>
    <t>Pol. Mazurská - Klima. - 5. p. GYNED a stomatochir</t>
  </si>
  <si>
    <t>081325</t>
  </si>
  <si>
    <t>Dětské hřiště při DS Zenklova 23</t>
  </si>
  <si>
    <t>Poliklinika Mazurská - rek. nebyt. prostor S16,17</t>
  </si>
  <si>
    <t>6114 - volby do Poslanecké sněm. Parlamentu ČR</t>
  </si>
  <si>
    <t>ZŠ + MŠ - projektová příprava</t>
  </si>
  <si>
    <t>ZŠ + MŠ - investiční akce malého rozsahu</t>
  </si>
  <si>
    <t>ZŠ + MŠ - technická a právní pomoc</t>
  </si>
  <si>
    <t>MŠ Řešovská - docházkový systém</t>
  </si>
  <si>
    <t>ZŠ Žernosecká - požárně bezpečnostní prvky</t>
  </si>
  <si>
    <t>MŠ Na Přesypu - venkovní zastínění učeben</t>
  </si>
  <si>
    <t>MŠ Bojasova - rekonstrukce hlavních vstupních bran</t>
  </si>
  <si>
    <t>ZŠ a MŠ Strozziho - navýšení výkonu VZT v kuchyni</t>
  </si>
  <si>
    <t>SeS - provedení klimatizace kanceláří</t>
  </si>
  <si>
    <t>ZŠ U Školské zahrady - rekonstrukce střechy nad ŠD</t>
  </si>
  <si>
    <t>ZŠ Žernosecká - klimatizace do tzv. suchého skladu</t>
  </si>
  <si>
    <t>ZŠ Ústavní - renovace schodiště do ul. Lodžská</t>
  </si>
  <si>
    <t>ZŠ Bohumila Hrabala - šatní klece</t>
  </si>
  <si>
    <t>MŠ Korycanská - sestava herních prvků na zahradu</t>
  </si>
  <si>
    <t>MŠ Krynická - renovace chodeb</t>
  </si>
  <si>
    <t>ZŠ Burešova - výměna povrchu fotbalového hřiště</t>
  </si>
  <si>
    <t>MŠ Lešenská - oprava střech včetně zateplení</t>
  </si>
  <si>
    <t>MŠ Lešenská - dodávka a montáž zastínění pískoviště</t>
  </si>
  <si>
    <t>KD Krakov - dodávka a montáž LAN a WiFi pro velký sál</t>
  </si>
  <si>
    <t>ZŠ Burešova - rekonstrukce elektroinstalace</t>
  </si>
  <si>
    <t>047724</t>
  </si>
  <si>
    <t>ZŠ U Školské zahrady - aktualizace PD na S.E.N.</t>
  </si>
  <si>
    <t>ZŠ Dolákova - rekonstrukce herních ploch - I.etapa</t>
  </si>
  <si>
    <t>Objekty ZŠ - pasport zabezpečení ZŠ</t>
  </si>
  <si>
    <t>ZŠ Glowackého - rekonstrukce oplocení okolo hřiště</t>
  </si>
  <si>
    <t>MŠ Korycanská - rekonstrukce elektroinstalace - PD</t>
  </si>
  <si>
    <t>EU - FVE ZŠ Ústavní</t>
  </si>
  <si>
    <t>EU - FVE ZŠ Mazurská</t>
  </si>
  <si>
    <t>EU - FVE ZŠ Burešova</t>
  </si>
  <si>
    <t>ZŠ a MŠ Lyčkovo nám. - výstavba tělocvičny, ŠK a ŠJ</t>
  </si>
  <si>
    <t>ZŠ Lyčkovo nám. - výměna oken v celém objektu</t>
  </si>
  <si>
    <t>MŠ Korycanská - vestavba solné jeskyně vč. PD</t>
  </si>
  <si>
    <t>Objekt Rokoska, ART ECON - rekonstrukce bytu</t>
  </si>
  <si>
    <t>ZŠ Žernosecká - rekonstrukce kabinetu</t>
  </si>
  <si>
    <t>MŠ Bojasova - rekonstrukce zpevněných ploch a chodníků</t>
  </si>
  <si>
    <t>ZŠ Ústavní - přístavba</t>
  </si>
  <si>
    <t>ZŠ Petra Strozziho - výstavba nového pavilonu ZŠ</t>
  </si>
  <si>
    <t>ZŠ Glowackého - nové zázemí sportoviště a úprava povrchů</t>
  </si>
  <si>
    <t>3149 - zařízení souvis. s vých. a vzděláváním</t>
  </si>
  <si>
    <t>ZŠ Palmovka (Hey) - PD - nástavba dvorního traktu - tělocvična</t>
  </si>
  <si>
    <t>ZŠ Petra Strozziho - PD - zkapacitnění objektu školy - nástavba</t>
  </si>
  <si>
    <t>ZŠ Petra Strozziho - PD - zkapacitnění objektu školy - přístavba</t>
  </si>
  <si>
    <t>ZŠ a MŠ Na Slovance - rozvody kabeláže pro internet</t>
  </si>
  <si>
    <t>ZŠ Žernosecká - 10 x zatemňovací rolety</t>
  </si>
  <si>
    <t>ZŠ Libčická - žaluzie u tělocvičen jižní a jihozápadní strana</t>
  </si>
  <si>
    <t>MŠ Klíčanská - instalace venkovních rolet - jižní strana</t>
  </si>
  <si>
    <t>MŠ Korycanská - rekonstrukce venkovních toalet</t>
  </si>
  <si>
    <t>MŠ Kotlaska - instalace venkovních rolet - jižní strana</t>
  </si>
  <si>
    <t>ZŠ Hovorčovická - venkovní žaluzie počítačová učebna</t>
  </si>
  <si>
    <t>ZŠ Na Slovance - vybudování zvonků do ŠD včetně rozvodů</t>
  </si>
  <si>
    <t>Nad Rokoskou 111 - PD - Rekonstrukce zábradlí terasy</t>
  </si>
  <si>
    <t>MŠ Řešovská - klimatizační jednotky ve třídách (4)</t>
  </si>
  <si>
    <t>Obj. Chabařovická - úprava PD, aktualizace rozpočtu a SP</t>
  </si>
  <si>
    <t>ZŠ Glowackého - samostatné stání na popelnice</t>
  </si>
  <si>
    <t>Objekt Svídnická - úprava PD, aktualizace rozpočtu a zaj. SP</t>
  </si>
  <si>
    <t>ZŠ Burešova - PD - propojení objektu školy s ŠJ - krček</t>
  </si>
  <si>
    <t>MŠ Na Pěšinách - konvektomat do ŠJ</t>
  </si>
  <si>
    <t>MŠ Řešovská - šlehací a hnětací stroj</t>
  </si>
  <si>
    <t>MŠ Štěpničná - herní prvek</t>
  </si>
  <si>
    <t>MŠ U Sluncové - plynový sporák</t>
  </si>
  <si>
    <t>ZŠ Glowackého - konvektomat do ŠJ</t>
  </si>
  <si>
    <t>ZŠ Žernosecká - konvektomat do ŠJ</t>
  </si>
  <si>
    <t>ZŠ a MŠ U Školské zahrady - konvektomat do ŠJ</t>
  </si>
  <si>
    <t>ZŠ Žernosecká - pánev do ŠJ</t>
  </si>
  <si>
    <t>ZŠ a MŠ U Školské zahrady - multifunkční pánev</t>
  </si>
  <si>
    <t>MŠ Lešenská - elektrický kotel</t>
  </si>
  <si>
    <t>MŠ Lešenská - elektrická pec</t>
  </si>
  <si>
    <t>047325</t>
  </si>
  <si>
    <t>ZŠ Žernosecká - 4 x interaktivní projektory</t>
  </si>
  <si>
    <t>MŠ a ZŠ Lyčkovo náměstí - výměna oken - I. etapa</t>
  </si>
  <si>
    <t>ZŠ U Šk. zahrady - výroba a montáž VZT zařízení k nové myčce</t>
  </si>
  <si>
    <t>MŠ Na Pešinách - rozšíření systému ke vjezdu do areálu ŠK</t>
  </si>
  <si>
    <t>ZŠ Mazurská - ochranná síť do sport. nafukovací haly</t>
  </si>
  <si>
    <t>ZŠ Glowackého - pojezd. brána na uzavření prostoru popelnic a kont.</t>
  </si>
  <si>
    <t>KD Krakov - přenosný expander Allen&amp;Heath dLivr DX</t>
  </si>
  <si>
    <t>MŠ Řešovská - dodávka a montáž přístupového systému</t>
  </si>
  <si>
    <t>MŠ Libčická - herní plocha SmartSoft - dopadová plocha</t>
  </si>
  <si>
    <t>MŠ Korycanská - PD Solná jeskyně</t>
  </si>
  <si>
    <t>MŠ Drahorádova - S.E.N. (1.část) - rekuperace</t>
  </si>
  <si>
    <t>046925</t>
  </si>
  <si>
    <t>MŠ Bojasova - vybudování chladicího boxu</t>
  </si>
  <si>
    <t>047025</t>
  </si>
  <si>
    <t>ZŠ a MŠ - dofinancování FVE</t>
  </si>
  <si>
    <t>047125</t>
  </si>
  <si>
    <t>ZŠ - zajištění komplex. služeb projektového manažera</t>
  </si>
  <si>
    <t>047225</t>
  </si>
  <si>
    <t>ZŠ B. Hrabala - dostavba šaten (skříňky)</t>
  </si>
  <si>
    <t>047425</t>
  </si>
  <si>
    <t>KD Krakov - klima do vrátnice</t>
  </si>
  <si>
    <t>047525</t>
  </si>
  <si>
    <t>MŠ MČ P8 - pasport zabezpečení MŠ</t>
  </si>
  <si>
    <t>047625</t>
  </si>
  <si>
    <t>ZŠ Ústavní - rekons. elektroinstalace (rozvaděče)</t>
  </si>
  <si>
    <t>047725</t>
  </si>
  <si>
    <t>ZŠ Dolákova - výměna osvětlení na softball. hřišti</t>
  </si>
  <si>
    <t>047825</t>
  </si>
  <si>
    <t>ZŠ Glowackého - PD - rozvoj hřišť a zázemí Glowackého</t>
  </si>
  <si>
    <t>ZŠ Glowackého - rekon. stávajícího multifunk. hřiště</t>
  </si>
  <si>
    <t>047925</t>
  </si>
  <si>
    <t>MŠ Korycanská - herní plocha Smart Soft</t>
  </si>
  <si>
    <t>048025</t>
  </si>
  <si>
    <t>ZŠ Mazurská - rekonstrukce povrchu volejbal. hřišť</t>
  </si>
  <si>
    <t>048125</t>
  </si>
  <si>
    <t>ZŠ Klíčanská - výměna vnitřních oken</t>
  </si>
  <si>
    <t>048325</t>
  </si>
  <si>
    <t>MŠ Lešenská - rekonstrukce teras</t>
  </si>
  <si>
    <t>048425</t>
  </si>
  <si>
    <t>ZŠ a MŠ P. Strozziho - rekon. a zastřešení atria</t>
  </si>
  <si>
    <t>048525</t>
  </si>
  <si>
    <t>MŠ Poznaňská - rekuperace</t>
  </si>
  <si>
    <t>048925</t>
  </si>
  <si>
    <t>ZŠ Libčická - rekonstrukce dětského hřiště</t>
  </si>
  <si>
    <t>049125</t>
  </si>
  <si>
    <t>ZŠ Mazurská - PD - zázemí hřiště a nafukovací haly</t>
  </si>
  <si>
    <t>049325</t>
  </si>
  <si>
    <t>ZŠ Bohumila Hrabala - robotická učebna ZŠ BH</t>
  </si>
  <si>
    <t>049425</t>
  </si>
  <si>
    <t>ZŠ Žernosecká - cykloboxy Žernosecká</t>
  </si>
  <si>
    <t>411124</t>
  </si>
  <si>
    <t>EU - objekt Chabařovická - snížení energetické náročnosti</t>
  </si>
  <si>
    <t>EU - FVE Krakov</t>
  </si>
  <si>
    <t>EU - MŠ Drahorádova - snížení energetické náročnosti</t>
  </si>
  <si>
    <t>EU - MŠ Poznaňská - snížení energetické náročnosti</t>
  </si>
  <si>
    <t>EU - ZŠ U Školské zahrady - snížení energetické náročnosti</t>
  </si>
  <si>
    <t>Objekt Pazderky  - PD - výstavba nového objektu pro Klokánek</t>
  </si>
  <si>
    <t>ZŠ a MŠ - pasport PBŘ, zpráva PBŘ, DZPproHZS, výměna hydrantů</t>
  </si>
  <si>
    <t>ZŠ Hovorčovická - nástavba obj. (zkapacitnění)</t>
  </si>
  <si>
    <t>ZŠ P. Strozziho - zkapacitnění (přístavba)</t>
  </si>
  <si>
    <t xml:space="preserve">  Plnění rozpočtu městské části Praha 8 za rok 2025</t>
  </si>
  <si>
    <t>k 31.12.2025</t>
  </si>
  <si>
    <t>090325</t>
  </si>
  <si>
    <t xml:space="preserve">Strukturovaná kabeláž Archív Čimická </t>
  </si>
  <si>
    <t>090425</t>
  </si>
  <si>
    <t>Kamerový sysrém Archív Čimická</t>
  </si>
  <si>
    <t>090625</t>
  </si>
  <si>
    <t>Síťová sonda a kolektor</t>
  </si>
  <si>
    <t>090725</t>
  </si>
  <si>
    <t>IP telefonie U Synagogy</t>
  </si>
  <si>
    <t>070125</t>
  </si>
  <si>
    <t>PD-obnova odpočinkové zóny s fontánou Prameník</t>
  </si>
  <si>
    <t>Stu.a pr.př.revital.stráně mezi Low.ml.a zám.pivovarem</t>
  </si>
  <si>
    <t>090318</t>
  </si>
  <si>
    <t>020725</t>
  </si>
  <si>
    <t>PD na změnu povrchu basketbalového hřiště</t>
  </si>
  <si>
    <t>pol. 5222- neinvestiční transfery spolkům</t>
  </si>
  <si>
    <t>080120</t>
  </si>
  <si>
    <t>081425</t>
  </si>
  <si>
    <t>081524</t>
  </si>
  <si>
    <t>Instal. Klimat. NP č. 504 (VB), Křižíkova 459/72</t>
  </si>
  <si>
    <t>081925</t>
  </si>
  <si>
    <t>EU-NPO-zřítení dětské skupiny dvorní objekt Palmovka</t>
  </si>
  <si>
    <t>EU-NPO-zřízení DS polyfunkční dům Zenklova -M.N.</t>
  </si>
  <si>
    <t>081825</t>
  </si>
  <si>
    <t>Pol.Mazurská-Montáž protipožárních dveří - spol. prostory</t>
  </si>
  <si>
    <t>Nákup pozemků DS Zenklova 23</t>
  </si>
  <si>
    <t>MŠ Na Pěšinách - Inženýring spojovací schodiště</t>
  </si>
  <si>
    <t>ZŠ Burešova – Osvětlení fotbalového hřiště</t>
  </si>
  <si>
    <t>ZŠ a MŠ P. Strozziho - rekonstrukce a zastřešení atria</t>
  </si>
  <si>
    <t>ZŠ Dolákova - rekonstrukce herních ploch družina II. etapa</t>
  </si>
  <si>
    <t>Rekonstrukce společných prostor poliklinika Mazurská</t>
  </si>
  <si>
    <t>Rekonstrukce objektů pro potřeby Fondu ohrožených dětí</t>
  </si>
  <si>
    <t>070225</t>
  </si>
  <si>
    <t>0081789070424</t>
  </si>
  <si>
    <t>Nákup kontejneru 2,4x6 m</t>
  </si>
  <si>
    <t>Dobíjecí skříň s mobilním panelem</t>
  </si>
  <si>
    <t>31.12.2025</t>
  </si>
  <si>
    <t>Kávovar Cofferbreak Plus s příslušenstvím Poliklinika Mazurská</t>
  </si>
  <si>
    <t>Poliklinika Mazurská - rekon. nebyt. prostor S 16,17</t>
  </si>
  <si>
    <t>Rek. Objektů pro potřeby Fondu ohrožených dětí</t>
  </si>
  <si>
    <t>str.21/21</t>
  </si>
  <si>
    <t>str.20/21</t>
  </si>
  <si>
    <t>str.19/21</t>
  </si>
  <si>
    <t>str.18/21</t>
  </si>
  <si>
    <t>str.15/21</t>
  </si>
  <si>
    <t>str. 16/21</t>
  </si>
  <si>
    <t>str. 17/21</t>
  </si>
  <si>
    <t>str.14/21</t>
  </si>
  <si>
    <t>str.13/21</t>
  </si>
  <si>
    <t>str.12/21</t>
  </si>
  <si>
    <t>str.5/21</t>
  </si>
  <si>
    <t>str.6/21</t>
  </si>
  <si>
    <t>str.7/21</t>
  </si>
  <si>
    <t>str.8/21</t>
  </si>
  <si>
    <t>str.9/21</t>
  </si>
  <si>
    <t>str.10/21</t>
  </si>
  <si>
    <t>str.11/21</t>
  </si>
  <si>
    <t>str.4/21</t>
  </si>
  <si>
    <t>str.2/21</t>
  </si>
  <si>
    <t>str.3/21</t>
  </si>
  <si>
    <t>str.1/21</t>
  </si>
  <si>
    <t xml:space="preserve">pol. 5166 - konzultační, poradenské a právní služby </t>
  </si>
  <si>
    <t>048625</t>
  </si>
  <si>
    <t>048725</t>
  </si>
  <si>
    <t>ZŠ Lyčkovo nám. - real. výstavy tělocvičny, ŠK a ŠJ</t>
  </si>
  <si>
    <t>nájemné pozemků</t>
  </si>
  <si>
    <t>Revitalizace parku Dlážděnka (I. etapa)</t>
  </si>
  <si>
    <t>016343043824</t>
  </si>
  <si>
    <t>016344044724</t>
  </si>
  <si>
    <t>016344046323</t>
  </si>
  <si>
    <t>016345046623</t>
  </si>
  <si>
    <t>016345047723</t>
  </si>
  <si>
    <t>016450046725</t>
  </si>
  <si>
    <t>016451041423</t>
  </si>
  <si>
    <t>016452048225</t>
  </si>
  <si>
    <t>080372043117</t>
  </si>
  <si>
    <t>081789043324</t>
  </si>
  <si>
    <t>081789043325</t>
  </si>
  <si>
    <t>081789044424</t>
  </si>
  <si>
    <t>081789044524</t>
  </si>
  <si>
    <t>081789046524</t>
  </si>
  <si>
    <t>081789047525</t>
  </si>
  <si>
    <t>081789047725</t>
  </si>
  <si>
    <t>081789047825</t>
  </si>
  <si>
    <t>081789048125</t>
  </si>
  <si>
    <t>081789048425</t>
  </si>
  <si>
    <t>081789410624</t>
  </si>
  <si>
    <t>081789410924</t>
  </si>
  <si>
    <t>081789411124</t>
  </si>
  <si>
    <t>081976046823</t>
  </si>
  <si>
    <t>082029045024</t>
  </si>
  <si>
    <t>082101046224</t>
  </si>
  <si>
    <t>082122046824</t>
  </si>
  <si>
    <t>082197045325</t>
  </si>
  <si>
    <t>082198045425</t>
  </si>
  <si>
    <t>082261045023</t>
  </si>
  <si>
    <t>082262041224</t>
  </si>
  <si>
    <t>081789050122</t>
  </si>
  <si>
    <t>081789050222</t>
  </si>
  <si>
    <t>081789050125</t>
  </si>
  <si>
    <t>081789060125</t>
  </si>
  <si>
    <t>081789060225</t>
  </si>
  <si>
    <t>081789060325</t>
  </si>
  <si>
    <t>081519080120</t>
  </si>
  <si>
    <t>081789080120</t>
  </si>
  <si>
    <t xml:space="preserve">081789080123  </t>
  </si>
  <si>
    <t>081789080421</t>
  </si>
  <si>
    <t>081789080520</t>
  </si>
  <si>
    <t>081789081624</t>
  </si>
  <si>
    <t>081789080322</t>
  </si>
  <si>
    <t>081789081225</t>
  </si>
  <si>
    <t>081789081424</t>
  </si>
  <si>
    <t>081789082424</t>
  </si>
  <si>
    <t>081789083024</t>
  </si>
  <si>
    <t>082024</t>
  </si>
  <si>
    <t>016522081725</t>
  </si>
  <si>
    <t>016609082024</t>
  </si>
  <si>
    <t>081789080125</t>
  </si>
  <si>
    <t>081789080916</t>
  </si>
  <si>
    <t>081789081425</t>
  </si>
  <si>
    <t>081789081625</t>
  </si>
  <si>
    <t>081789081925</t>
  </si>
  <si>
    <t>081789082824</t>
  </si>
  <si>
    <t xml:space="preserve">081789082924 </t>
  </si>
  <si>
    <t xml:space="preserve">082181081025 </t>
  </si>
  <si>
    <t>081789080825</t>
  </si>
  <si>
    <t>081789081125</t>
  </si>
  <si>
    <t>3612 - bytové hospodářství</t>
  </si>
  <si>
    <t>Nákup UPS</t>
  </si>
  <si>
    <t>081789090124</t>
  </si>
  <si>
    <t>081789090525</t>
  </si>
  <si>
    <t>081789100125</t>
  </si>
  <si>
    <t>081129080320</t>
  </si>
  <si>
    <t>081795010422</t>
  </si>
  <si>
    <t>081909081322</t>
  </si>
  <si>
    <t>Investiční dotace pro MČ HMP (UZ 84)</t>
  </si>
  <si>
    <t>Ponechané fin. prostředky z FV předchozího roku (UZ 90)</t>
  </si>
  <si>
    <t>081789010123</t>
  </si>
  <si>
    <t>081789010124</t>
  </si>
  <si>
    <t>081789010125</t>
  </si>
  <si>
    <t>081789010324</t>
  </si>
  <si>
    <t>081307020120</t>
  </si>
  <si>
    <t>081738090422</t>
  </si>
  <si>
    <t>081789020125</t>
  </si>
  <si>
    <t>081789020525</t>
  </si>
  <si>
    <t>081789020622</t>
  </si>
  <si>
    <t>081789090318</t>
  </si>
  <si>
    <t xml:space="preserve"> 082063020124</t>
  </si>
  <si>
    <t>080515090316</t>
  </si>
  <si>
    <t>Kapitola 02 - městská infrastruktura celkem</t>
  </si>
  <si>
    <t>081789030322</t>
  </si>
  <si>
    <t>081789030424</t>
  </si>
  <si>
    <t>081500030119</t>
  </si>
  <si>
    <t>dotace na sport (ÚZ 98)</t>
  </si>
  <si>
    <t>(ÚZ 98)</t>
  </si>
  <si>
    <t>Zastupitelstva městské části Praha 8</t>
  </si>
  <si>
    <t xml:space="preserve">ze dne 17. června 2026                                </t>
  </si>
  <si>
    <t>Příloha č. 3 usnesení  č. Usn ZMC 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</si>
</sst>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5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b/>
      <sz val="10"/>
      <color theme="1"/>
      <name val="Ariel ce"/>
      <charset val="238"/>
    </font>
    <font>
      <sz val="10"/>
      <color theme="1"/>
      <name val="Ariel ce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name val="Ariel ce"/>
      <charset val="238"/>
    </font>
    <font>
      <b/>
      <sz val="10"/>
      <name val="Ariel ce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Ariel CE"/>
      <charset val="238"/>
    </font>
    <font>
      <sz val="12"/>
      <name val="Arial"/>
      <family val="2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charset val="238"/>
    </font>
    <font>
      <sz val="10"/>
      <name val="Ariel "/>
      <charset val="238"/>
    </font>
    <font>
      <sz val="11"/>
      <name val="Arial"/>
      <family val="2"/>
      <charset val="238"/>
    </font>
    <font>
      <sz val="12"/>
      <name val="Arial CE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</cellStyleXfs>
  <cellXfs count="1008">
    <xf numFmtId="0" fontId="0" fillId="0" borderId="0" xfId="0"/>
    <xf numFmtId="43" fontId="0" fillId="0" borderId="0" xfId="4" applyFont="1" applyFill="1"/>
    <xf numFmtId="43" fontId="0" fillId="0" borderId="60" xfId="4" applyFont="1" applyFill="1" applyBorder="1"/>
    <xf numFmtId="0" fontId="13" fillId="0" borderId="0" xfId="0" applyFont="1"/>
    <xf numFmtId="0" fontId="15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7" fillId="0" borderId="5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0" fontId="17" fillId="0" borderId="60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14" fontId="17" fillId="0" borderId="8" xfId="0" applyNumberFormat="1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3" fillId="0" borderId="52" xfId="0" applyFont="1" applyBorder="1" applyAlignment="1">
      <alignment horizontal="left"/>
    </xf>
    <xf numFmtId="0" fontId="13" fillId="0" borderId="33" xfId="0" applyFont="1" applyBorder="1"/>
    <xf numFmtId="49" fontId="13" fillId="0" borderId="33" xfId="0" applyNumberFormat="1" applyFont="1" applyBorder="1"/>
    <xf numFmtId="0" fontId="0" fillId="0" borderId="34" xfId="0" applyBorder="1"/>
    <xf numFmtId="0" fontId="0" fillId="0" borderId="33" xfId="0" applyBorder="1"/>
    <xf numFmtId="49" fontId="7" fillId="0" borderId="12" xfId="2" applyNumberFormat="1" applyFont="1" applyBorder="1" applyAlignment="1">
      <alignment horizontal="center"/>
    </xf>
    <xf numFmtId="0" fontId="3" fillId="0" borderId="14" xfId="2" applyFont="1" applyBorder="1" applyAlignment="1">
      <alignment horizontal="left"/>
    </xf>
    <xf numFmtId="3" fontId="7" fillId="0" borderId="21" xfId="2" applyNumberFormat="1" applyFont="1" applyBorder="1"/>
    <xf numFmtId="164" fontId="7" fillId="0" borderId="21" xfId="2" applyNumberFormat="1" applyFont="1" applyBorder="1"/>
    <xf numFmtId="3" fontId="7" fillId="0" borderId="21" xfId="0" applyNumberFormat="1" applyFont="1" applyBorder="1"/>
    <xf numFmtId="4" fontId="17" fillId="0" borderId="22" xfId="2" applyNumberFormat="1" applyFont="1" applyBorder="1"/>
    <xf numFmtId="4" fontId="17" fillId="0" borderId="50" xfId="0" applyNumberFormat="1" applyFont="1" applyBorder="1"/>
    <xf numFmtId="0" fontId="1" fillId="0" borderId="21" xfId="2" applyBorder="1"/>
    <xf numFmtId="3" fontId="1" fillId="0" borderId="21" xfId="0" applyNumberFormat="1" applyFont="1" applyBorder="1"/>
    <xf numFmtId="164" fontId="1" fillId="0" borderId="21" xfId="0" applyNumberFormat="1" applyFont="1" applyBorder="1"/>
    <xf numFmtId="4" fontId="9" fillId="0" borderId="22" xfId="2" applyNumberFormat="1" applyFont="1" applyBorder="1"/>
    <xf numFmtId="4" fontId="9" fillId="0" borderId="50" xfId="0" applyNumberFormat="1" applyFont="1" applyBorder="1"/>
    <xf numFmtId="164" fontId="7" fillId="0" borderId="21" xfId="0" applyNumberFormat="1" applyFont="1" applyBorder="1"/>
    <xf numFmtId="49" fontId="7" fillId="0" borderId="9" xfId="2" applyNumberFormat="1" applyFont="1" applyBorder="1" applyAlignment="1">
      <alignment horizontal="center"/>
    </xf>
    <xf numFmtId="49" fontId="1" fillId="0" borderId="9" xfId="2" applyNumberFormat="1" applyBorder="1" applyAlignment="1">
      <alignment horizontal="center"/>
    </xf>
    <xf numFmtId="3" fontId="1" fillId="0" borderId="14" xfId="0" applyNumberFormat="1" applyFont="1" applyBorder="1"/>
    <xf numFmtId="164" fontId="1" fillId="0" borderId="14" xfId="0" applyNumberFormat="1" applyFont="1" applyBorder="1"/>
    <xf numFmtId="49" fontId="1" fillId="0" borderId="12" xfId="2" applyNumberFormat="1" applyBorder="1" applyAlignment="1">
      <alignment horizontal="center"/>
    </xf>
    <xf numFmtId="4" fontId="9" fillId="0" borderId="13" xfId="2" applyNumberFormat="1" applyFont="1" applyBorder="1"/>
    <xf numFmtId="4" fontId="9" fillId="0" borderId="35" xfId="0" applyNumberFormat="1" applyFont="1" applyBorder="1"/>
    <xf numFmtId="0" fontId="2" fillId="0" borderId="27" xfId="2" applyFont="1" applyBorder="1"/>
    <xf numFmtId="3" fontId="2" fillId="0" borderId="27" xfId="2" applyNumberFormat="1" applyFont="1" applyBorder="1"/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 wrapText="1"/>
    </xf>
    <xf numFmtId="49" fontId="17" fillId="0" borderId="8" xfId="0" applyNumberFormat="1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3" fillId="0" borderId="11" xfId="0" applyFont="1" applyBorder="1"/>
    <xf numFmtId="49" fontId="13" fillId="0" borderId="11" xfId="0" applyNumberFormat="1" applyFont="1" applyBorder="1"/>
    <xf numFmtId="0" fontId="13" fillId="0" borderId="16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49" fontId="17" fillId="0" borderId="9" xfId="2" applyNumberFormat="1" applyFont="1" applyBorder="1" applyAlignment="1">
      <alignment horizontal="center"/>
    </xf>
    <xf numFmtId="3" fontId="17" fillId="0" borderId="21" xfId="3" applyNumberFormat="1" applyFont="1" applyBorder="1"/>
    <xf numFmtId="164" fontId="17" fillId="0" borderId="21" xfId="3" applyNumberFormat="1" applyFont="1" applyBorder="1"/>
    <xf numFmtId="49" fontId="9" fillId="0" borderId="21" xfId="3" applyNumberFormat="1" applyFont="1" applyBorder="1" applyAlignment="1">
      <alignment horizontal="center"/>
    </xf>
    <xf numFmtId="3" fontId="9" fillId="0" borderId="21" xfId="3" applyNumberFormat="1" applyFont="1" applyBorder="1"/>
    <xf numFmtId="164" fontId="9" fillId="0" borderId="21" xfId="3" applyNumberFormat="1" applyFont="1" applyBorder="1"/>
    <xf numFmtId="4" fontId="9" fillId="0" borderId="21" xfId="2" applyNumberFormat="1" applyFont="1" applyBorder="1" applyAlignment="1">
      <alignment horizontal="right"/>
    </xf>
    <xf numFmtId="4" fontId="9" fillId="0" borderId="21" xfId="2" applyNumberFormat="1" applyFont="1" applyBorder="1"/>
    <xf numFmtId="4" fontId="9" fillId="0" borderId="50" xfId="0" applyNumberFormat="1" applyFont="1" applyBorder="1" applyAlignment="1">
      <alignment horizontal="right"/>
    </xf>
    <xf numFmtId="49" fontId="2" fillId="0" borderId="26" xfId="3" applyNumberFormat="1" applyFont="1" applyBorder="1" applyAlignment="1">
      <alignment horizontal="left"/>
    </xf>
    <xf numFmtId="0" fontId="2" fillId="0" borderId="27" xfId="3" applyFont="1" applyBorder="1" applyAlignment="1">
      <alignment horizontal="center" wrapText="1"/>
    </xf>
    <xf numFmtId="4" fontId="2" fillId="0" borderId="49" xfId="2" applyNumberFormat="1" applyFont="1" applyBorder="1"/>
    <xf numFmtId="0" fontId="35" fillId="0" borderId="0" xfId="0" applyFont="1"/>
    <xf numFmtId="49" fontId="2" fillId="0" borderId="26" xfId="2" applyNumberFormat="1" applyFont="1" applyBorder="1" applyAlignment="1">
      <alignment horizontal="left"/>
    </xf>
    <xf numFmtId="0" fontId="36" fillId="0" borderId="27" xfId="0" applyFont="1" applyBorder="1"/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14" fontId="17" fillId="0" borderId="39" xfId="0" applyNumberFormat="1" applyFont="1" applyBorder="1" applyAlignment="1">
      <alignment horizontal="center"/>
    </xf>
    <xf numFmtId="0" fontId="0" fillId="0" borderId="16" xfId="0" applyBorder="1"/>
    <xf numFmtId="0" fontId="3" fillId="0" borderId="21" xfId="2" applyFont="1" applyBorder="1"/>
    <xf numFmtId="3" fontId="9" fillId="0" borderId="20" xfId="0" applyNumberFormat="1" applyFont="1" applyBorder="1"/>
    <xf numFmtId="49" fontId="3" fillId="0" borderId="12" xfId="2" applyNumberFormat="1" applyFont="1" applyBorder="1" applyAlignment="1">
      <alignment horizontal="center"/>
    </xf>
    <xf numFmtId="49" fontId="3" fillId="0" borderId="21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/>
    </xf>
    <xf numFmtId="0" fontId="3" fillId="0" borderId="14" xfId="2" applyFont="1" applyBorder="1"/>
    <xf numFmtId="0" fontId="4" fillId="0" borderId="27" xfId="2" applyFont="1" applyBorder="1"/>
    <xf numFmtId="4" fontId="2" fillId="0" borderId="27" xfId="2" applyNumberFormat="1" applyFont="1" applyBorder="1"/>
    <xf numFmtId="0" fontId="4" fillId="0" borderId="0" xfId="2" applyFont="1"/>
    <xf numFmtId="3" fontId="0" fillId="0" borderId="0" xfId="0" applyNumberFormat="1"/>
    <xf numFmtId="0" fontId="13" fillId="0" borderId="5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49" fontId="9" fillId="0" borderId="12" xfId="3" applyNumberFormat="1" applyFont="1" applyBorder="1" applyAlignment="1">
      <alignment horizontal="center"/>
    </xf>
    <xf numFmtId="3" fontId="1" fillId="0" borderId="40" xfId="0" applyNumberFormat="1" applyFont="1" applyBorder="1"/>
    <xf numFmtId="4" fontId="9" fillId="0" borderId="51" xfId="0" applyNumberFormat="1" applyFont="1" applyBorder="1"/>
    <xf numFmtId="3" fontId="9" fillId="0" borderId="0" xfId="3" applyNumberFormat="1" applyFont="1"/>
    <xf numFmtId="164" fontId="9" fillId="0" borderId="0" xfId="3" applyNumberFormat="1" applyFont="1"/>
    <xf numFmtId="4" fontId="9" fillId="0" borderId="0" xfId="0" applyNumberFormat="1" applyFont="1"/>
    <xf numFmtId="3" fontId="9" fillId="0" borderId="16" xfId="3" applyNumberFormat="1" applyFont="1" applyBorder="1"/>
    <xf numFmtId="164" fontId="9" fillId="0" borderId="16" xfId="3" applyNumberFormat="1" applyFont="1" applyBorder="1"/>
    <xf numFmtId="3" fontId="1" fillId="0" borderId="16" xfId="0" applyNumberFormat="1" applyFont="1" applyBorder="1"/>
    <xf numFmtId="4" fontId="9" fillId="0" borderId="42" xfId="0" applyNumberFormat="1" applyFont="1" applyBorder="1"/>
    <xf numFmtId="49" fontId="13" fillId="0" borderId="7" xfId="3" applyNumberFormat="1" applyFont="1" applyBorder="1" applyAlignment="1">
      <alignment horizontal="left"/>
    </xf>
    <xf numFmtId="0" fontId="13" fillId="0" borderId="8" xfId="3" applyFont="1" applyBorder="1" applyAlignment="1">
      <alignment horizontal="center" wrapText="1"/>
    </xf>
    <xf numFmtId="49" fontId="13" fillId="0" borderId="26" xfId="2" applyNumberFormat="1" applyFont="1" applyBorder="1" applyAlignment="1">
      <alignment horizontal="left"/>
    </xf>
    <xf numFmtId="0" fontId="35" fillId="0" borderId="27" xfId="0" applyFont="1" applyBorder="1"/>
    <xf numFmtId="0" fontId="13" fillId="0" borderId="27" xfId="2" applyFont="1" applyBorder="1"/>
    <xf numFmtId="0" fontId="13" fillId="0" borderId="27" xfId="3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17" fillId="0" borderId="6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49" fontId="13" fillId="0" borderId="24" xfId="0" applyNumberFormat="1" applyFont="1" applyBorder="1"/>
    <xf numFmtId="0" fontId="14" fillId="0" borderId="16" xfId="0" applyFont="1" applyBorder="1"/>
    <xf numFmtId="0" fontId="14" fillId="0" borderId="5" xfId="0" applyFont="1" applyBorder="1"/>
    <xf numFmtId="0" fontId="0" fillId="0" borderId="60" xfId="0" applyBorder="1"/>
    <xf numFmtId="49" fontId="7" fillId="0" borderId="22" xfId="2" applyNumberFormat="1" applyFont="1" applyBorder="1" applyAlignment="1">
      <alignment horizontal="left"/>
    </xf>
    <xf numFmtId="49" fontId="7" fillId="0" borderId="20" xfId="2" applyNumberFormat="1" applyFont="1" applyBorder="1" applyAlignment="1">
      <alignment horizontal="left"/>
    </xf>
    <xf numFmtId="49" fontId="7" fillId="0" borderId="19" xfId="2" applyNumberFormat="1" applyFont="1" applyBorder="1" applyAlignment="1">
      <alignment horizontal="left"/>
    </xf>
    <xf numFmtId="164" fontId="17" fillId="0" borderId="68" xfId="3" applyNumberFormat="1" applyFont="1" applyBorder="1" applyAlignment="1">
      <alignment vertical="top" wrapText="1"/>
    </xf>
    <xf numFmtId="49" fontId="3" fillId="0" borderId="21" xfId="2" applyNumberFormat="1" applyFont="1" applyBorder="1" applyAlignment="1">
      <alignment horizontal="left"/>
    </xf>
    <xf numFmtId="0" fontId="3" fillId="0" borderId="22" xfId="2" applyFont="1" applyBorder="1"/>
    <xf numFmtId="3" fontId="1" fillId="0" borderId="21" xfId="2" applyNumberFormat="1" applyBorder="1"/>
    <xf numFmtId="49" fontId="3" fillId="0" borderId="15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left"/>
    </xf>
    <xf numFmtId="3" fontId="1" fillId="0" borderId="14" xfId="2" applyNumberFormat="1" applyBorder="1"/>
    <xf numFmtId="164" fontId="1" fillId="0" borderId="14" xfId="2" applyNumberFormat="1" applyBorder="1"/>
    <xf numFmtId="49" fontId="3" fillId="0" borderId="13" xfId="2" applyNumberFormat="1" applyFont="1" applyBorder="1" applyAlignment="1">
      <alignment horizontal="center"/>
    </xf>
    <xf numFmtId="0" fontId="9" fillId="0" borderId="14" xfId="0" applyFont="1" applyBorder="1" applyAlignment="1">
      <alignment vertical="center" wrapText="1"/>
    </xf>
    <xf numFmtId="3" fontId="1" fillId="0" borderId="21" xfId="3" applyNumberFormat="1" applyBorder="1"/>
    <xf numFmtId="164" fontId="1" fillId="0" borderId="21" xfId="2" applyNumberFormat="1" applyBorder="1"/>
    <xf numFmtId="164" fontId="0" fillId="0" borderId="0" xfId="0" applyNumberFormat="1"/>
    <xf numFmtId="0" fontId="1" fillId="0" borderId="0" xfId="1"/>
    <xf numFmtId="0" fontId="6" fillId="0" borderId="1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17" fillId="0" borderId="3" xfId="0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7" fillId="0" borderId="17" xfId="2" applyFont="1" applyBorder="1"/>
    <xf numFmtId="0" fontId="14" fillId="0" borderId="0" xfId="0" applyFont="1"/>
    <xf numFmtId="4" fontId="0" fillId="0" borderId="0" xfId="0" applyNumberFormat="1"/>
    <xf numFmtId="14" fontId="17" fillId="0" borderId="0" xfId="0" applyNumberFormat="1" applyFont="1" applyAlignment="1">
      <alignment horizontal="center"/>
    </xf>
    <xf numFmtId="164" fontId="1" fillId="0" borderId="0" xfId="2" applyNumberFormat="1"/>
    <xf numFmtId="0" fontId="17" fillId="0" borderId="21" xfId="2" applyFont="1" applyBorder="1" applyAlignment="1">
      <alignment horizontal="left"/>
    </xf>
    <xf numFmtId="165" fontId="0" fillId="0" borderId="0" xfId="0" applyNumberFormat="1"/>
    <xf numFmtId="0" fontId="9" fillId="0" borderId="21" xfId="2" applyFont="1" applyBorder="1" applyAlignment="1">
      <alignment horizontal="left"/>
    </xf>
    <xf numFmtId="3" fontId="17" fillId="0" borderId="16" xfId="0" applyNumberFormat="1" applyFont="1" applyBorder="1"/>
    <xf numFmtId="0" fontId="17" fillId="0" borderId="18" xfId="2" applyFont="1" applyBorder="1"/>
    <xf numFmtId="164" fontId="9" fillId="0" borderId="21" xfId="0" applyNumberFormat="1" applyFont="1" applyBorder="1" applyAlignment="1">
      <alignment horizontal="right"/>
    </xf>
    <xf numFmtId="0" fontId="9" fillId="0" borderId="21" xfId="2" applyFont="1" applyBorder="1"/>
    <xf numFmtId="0" fontId="9" fillId="0" borderId="0" xfId="2" applyFont="1"/>
    <xf numFmtId="3" fontId="9" fillId="0" borderId="5" xfId="3" applyNumberFormat="1" applyFont="1" applyBorder="1"/>
    <xf numFmtId="49" fontId="17" fillId="0" borderId="12" xfId="2" applyNumberFormat="1" applyFont="1" applyBorder="1" applyAlignment="1">
      <alignment horizontal="center"/>
    </xf>
    <xf numFmtId="3" fontId="9" fillId="0" borderId="21" xfId="0" applyNumberFormat="1" applyFont="1" applyBorder="1" applyAlignment="1">
      <alignment horizontal="right"/>
    </xf>
    <xf numFmtId="0" fontId="9" fillId="0" borderId="8" xfId="2" applyFont="1" applyBorder="1" applyAlignment="1">
      <alignment horizontal="left"/>
    </xf>
    <xf numFmtId="2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" fillId="0" borderId="65" xfId="0" applyFont="1" applyBorder="1"/>
    <xf numFmtId="0" fontId="4" fillId="0" borderId="5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49" fontId="4" fillId="0" borderId="34" xfId="0" applyNumberFormat="1" applyFont="1" applyBorder="1"/>
    <xf numFmtId="0" fontId="23" fillId="0" borderId="34" xfId="0" applyFont="1" applyBorder="1"/>
    <xf numFmtId="0" fontId="40" fillId="0" borderId="34" xfId="0" applyFont="1" applyBorder="1"/>
    <xf numFmtId="4" fontId="40" fillId="0" borderId="53" xfId="0" applyNumberFormat="1" applyFont="1" applyBorder="1"/>
    <xf numFmtId="4" fontId="35" fillId="0" borderId="57" xfId="0" applyNumberFormat="1" applyFont="1" applyBorder="1"/>
    <xf numFmtId="0" fontId="1" fillId="0" borderId="17" xfId="2" applyBorder="1"/>
    <xf numFmtId="164" fontId="7" fillId="0" borderId="14" xfId="2" applyNumberFormat="1" applyFont="1" applyBorder="1"/>
    <xf numFmtId="3" fontId="7" fillId="0" borderId="20" xfId="0" applyNumberFormat="1" applyFont="1" applyBorder="1"/>
    <xf numFmtId="4" fontId="17" fillId="0" borderId="22" xfId="2" applyNumberFormat="1" applyFont="1" applyBorder="1" applyAlignment="1">
      <alignment horizontal="right"/>
    </xf>
    <xf numFmtId="49" fontId="1" fillId="0" borderId="20" xfId="2" applyNumberFormat="1" applyBorder="1" applyAlignment="1">
      <alignment horizontal="center"/>
    </xf>
    <xf numFmtId="0" fontId="1" fillId="0" borderId="22" xfId="2" applyBorder="1"/>
    <xf numFmtId="0" fontId="1" fillId="0" borderId="21" xfId="0" applyFont="1" applyBorder="1"/>
    <xf numFmtId="0" fontId="9" fillId="0" borderId="21" xfId="0" applyFont="1" applyBorder="1"/>
    <xf numFmtId="49" fontId="1" fillId="0" borderId="11" xfId="2" applyNumberFormat="1" applyBorder="1" applyAlignment="1">
      <alignment horizontal="center"/>
    </xf>
    <xf numFmtId="0" fontId="1" fillId="0" borderId="16" xfId="2" applyBorder="1"/>
    <xf numFmtId="0" fontId="1" fillId="0" borderId="19" xfId="2" applyBorder="1"/>
    <xf numFmtId="0" fontId="1" fillId="0" borderId="20" xfId="0" applyFont="1" applyBorder="1"/>
    <xf numFmtId="0" fontId="1" fillId="0" borderId="20" xfId="0" applyFont="1" applyBorder="1" applyAlignment="1">
      <alignment horizontal="left"/>
    </xf>
    <xf numFmtId="3" fontId="7" fillId="0" borderId="14" xfId="2" applyNumberFormat="1" applyFont="1" applyBorder="1"/>
    <xf numFmtId="49" fontId="1" fillId="0" borderId="21" xfId="0" applyNumberFormat="1" applyFont="1" applyBorder="1" applyAlignment="1">
      <alignment horizontal="center"/>
    </xf>
    <xf numFmtId="0" fontId="1" fillId="0" borderId="16" xfId="2" applyBorder="1" applyAlignment="1">
      <alignment horizontal="left"/>
    </xf>
    <xf numFmtId="4" fontId="9" fillId="0" borderId="22" xfId="2" applyNumberFormat="1" applyFont="1" applyBorder="1" applyAlignment="1">
      <alignment horizontal="right"/>
    </xf>
    <xf numFmtId="0" fontId="1" fillId="0" borderId="12" xfId="0" applyFont="1" applyBorder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0" fontId="1" fillId="0" borderId="20" xfId="0" applyFont="1" applyBorder="1" applyAlignment="1">
      <alignment horizontal="left" wrapText="1"/>
    </xf>
    <xf numFmtId="0" fontId="1" fillId="0" borderId="14" xfId="0" applyFont="1" applyBorder="1" applyAlignment="1">
      <alignment horizontal="center"/>
    </xf>
    <xf numFmtId="0" fontId="1" fillId="0" borderId="16" xfId="0" applyFont="1" applyBorder="1"/>
    <xf numFmtId="0" fontId="1" fillId="0" borderId="21" xfId="0" applyFont="1" applyBorder="1" applyAlignment="1">
      <alignment horizontal="center"/>
    </xf>
    <xf numFmtId="49" fontId="1" fillId="0" borderId="16" xfId="0" applyNumberFormat="1" applyFont="1" applyBorder="1"/>
    <xf numFmtId="0" fontId="2" fillId="0" borderId="37" xfId="0" applyFont="1" applyBorder="1"/>
    <xf numFmtId="49" fontId="9" fillId="0" borderId="44" xfId="3" applyNumberFormat="1" applyFont="1" applyBorder="1" applyAlignment="1">
      <alignment horizontal="center"/>
    </xf>
    <xf numFmtId="49" fontId="9" fillId="0" borderId="69" xfId="3" applyNumberFormat="1" applyFont="1" applyBorder="1" applyAlignment="1">
      <alignment horizontal="center"/>
    </xf>
    <xf numFmtId="0" fontId="1" fillId="0" borderId="21" xfId="2" applyBorder="1" applyAlignment="1">
      <alignment horizontal="left"/>
    </xf>
    <xf numFmtId="49" fontId="9" fillId="0" borderId="45" xfId="3" applyNumberFormat="1" applyFont="1" applyBorder="1" applyAlignment="1">
      <alignment horizontal="center"/>
    </xf>
    <xf numFmtId="49" fontId="9" fillId="0" borderId="70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left"/>
    </xf>
    <xf numFmtId="0" fontId="0" fillId="0" borderId="12" xfId="0" applyBorder="1"/>
    <xf numFmtId="0" fontId="6" fillId="0" borderId="28" xfId="0" applyFont="1" applyBorder="1" applyAlignment="1">
      <alignment horizontal="center"/>
    </xf>
    <xf numFmtId="0" fontId="6" fillId="0" borderId="2" xfId="0" applyFont="1" applyBorder="1"/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4" fontId="17" fillId="0" borderId="55" xfId="0" applyNumberFormat="1" applyFont="1" applyBorder="1" applyAlignment="1">
      <alignment horizontal="center"/>
    </xf>
    <xf numFmtId="0" fontId="4" fillId="0" borderId="45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10" xfId="0" applyNumberFormat="1" applyFont="1" applyBorder="1"/>
    <xf numFmtId="0" fontId="1" fillId="0" borderId="2" xfId="0" applyFont="1" applyBorder="1"/>
    <xf numFmtId="0" fontId="45" fillId="0" borderId="2" xfId="0" applyFont="1" applyBorder="1"/>
    <xf numFmtId="4" fontId="45" fillId="0" borderId="63" xfId="0" applyNumberFormat="1" applyFont="1" applyBorder="1"/>
    <xf numFmtId="49" fontId="17" fillId="0" borderId="9" xfId="0" applyNumberFormat="1" applyFont="1" applyBorder="1" applyAlignment="1">
      <alignment horizontal="center"/>
    </xf>
    <xf numFmtId="0" fontId="17" fillId="0" borderId="23" xfId="0" applyFont="1" applyBorder="1"/>
    <xf numFmtId="3" fontId="17" fillId="0" borderId="20" xfId="0" applyNumberFormat="1" applyFont="1" applyBorder="1"/>
    <xf numFmtId="49" fontId="17" fillId="0" borderId="15" xfId="0" applyNumberFormat="1" applyFont="1" applyBorder="1" applyAlignment="1">
      <alignment horizontal="center"/>
    </xf>
    <xf numFmtId="49" fontId="17" fillId="0" borderId="14" xfId="0" applyNumberFormat="1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9" fillId="0" borderId="23" xfId="0" applyFont="1" applyBorder="1"/>
    <xf numFmtId="0" fontId="9" fillId="0" borderId="14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3" fontId="9" fillId="0" borderId="16" xfId="0" applyNumberFormat="1" applyFont="1" applyBorder="1"/>
    <xf numFmtId="164" fontId="1" fillId="0" borderId="14" xfId="3" applyNumberFormat="1" applyBorder="1"/>
    <xf numFmtId="0" fontId="9" fillId="0" borderId="23" xfId="0" applyFont="1" applyBorder="1" applyAlignment="1">
      <alignment horizontal="left"/>
    </xf>
    <xf numFmtId="3" fontId="9" fillId="0" borderId="17" xfId="0" applyNumberFormat="1" applyFont="1" applyBorder="1"/>
    <xf numFmtId="3" fontId="9" fillId="0" borderId="67" xfId="0" applyNumberFormat="1" applyFont="1" applyBorder="1"/>
    <xf numFmtId="3" fontId="9" fillId="0" borderId="11" xfId="0" applyNumberFormat="1" applyFont="1" applyBorder="1"/>
    <xf numFmtId="0" fontId="12" fillId="0" borderId="23" xfId="0" applyFont="1" applyBorder="1"/>
    <xf numFmtId="0" fontId="12" fillId="0" borderId="56" xfId="0" applyFont="1" applyBorder="1"/>
    <xf numFmtId="0" fontId="9" fillId="0" borderId="56" xfId="0" applyFont="1" applyBorder="1"/>
    <xf numFmtId="164" fontId="17" fillId="0" borderId="16" xfId="3" applyNumberFormat="1" applyFont="1" applyBorder="1"/>
    <xf numFmtId="3" fontId="9" fillId="0" borderId="21" xfId="0" applyNumberFormat="1" applyFont="1" applyBorder="1"/>
    <xf numFmtId="0" fontId="48" fillId="0" borderId="23" xfId="2" applyFont="1" applyBorder="1" applyAlignment="1">
      <alignment horizontal="left"/>
    </xf>
    <xf numFmtId="4" fontId="17" fillId="0" borderId="2" xfId="0" applyNumberFormat="1" applyFont="1" applyBorder="1" applyAlignment="1">
      <alignment horizontal="center"/>
    </xf>
    <xf numFmtId="4" fontId="17" fillId="0" borderId="59" xfId="0" applyNumberFormat="1" applyFont="1" applyBorder="1" applyAlignment="1">
      <alignment horizontal="center"/>
    </xf>
    <xf numFmtId="4" fontId="17" fillId="0" borderId="5" xfId="0" applyNumberFormat="1" applyFont="1" applyBorder="1" applyAlignment="1">
      <alignment horizontal="center"/>
    </xf>
    <xf numFmtId="4" fontId="17" fillId="0" borderId="60" xfId="0" applyNumberFormat="1" applyFont="1" applyBorder="1" applyAlignment="1">
      <alignment horizontal="center"/>
    </xf>
    <xf numFmtId="4" fontId="17" fillId="0" borderId="8" xfId="0" applyNumberFormat="1" applyFont="1" applyBorder="1" applyAlignment="1">
      <alignment horizontal="center"/>
    </xf>
    <xf numFmtId="4" fontId="17" fillId="0" borderId="61" xfId="0" applyNumberFormat="1" applyFont="1" applyBorder="1" applyAlignment="1">
      <alignment horizontal="center"/>
    </xf>
    <xf numFmtId="49" fontId="13" fillId="0" borderId="52" xfId="0" applyNumberFormat="1" applyFont="1" applyBorder="1" applyAlignment="1">
      <alignment horizontal="left"/>
    </xf>
    <xf numFmtId="0" fontId="13" fillId="0" borderId="33" xfId="0" applyFont="1" applyBorder="1" applyAlignment="1">
      <alignment horizontal="center"/>
    </xf>
    <xf numFmtId="49" fontId="13" fillId="0" borderId="34" xfId="0" applyNumberFormat="1" applyFont="1" applyBorder="1"/>
    <xf numFmtId="0" fontId="35" fillId="0" borderId="33" xfId="0" applyFont="1" applyBorder="1"/>
    <xf numFmtId="4" fontId="35" fillId="0" borderId="54" xfId="0" applyNumberFormat="1" applyFont="1" applyBorder="1"/>
    <xf numFmtId="49" fontId="17" fillId="0" borderId="30" xfId="2" applyNumberFormat="1" applyFont="1" applyBorder="1" applyAlignment="1">
      <alignment horizontal="center"/>
    </xf>
    <xf numFmtId="49" fontId="17" fillId="0" borderId="5" xfId="2" applyNumberFormat="1" applyFont="1" applyBorder="1" applyAlignment="1">
      <alignment horizontal="left"/>
    </xf>
    <xf numFmtId="49" fontId="17" fillId="0" borderId="16" xfId="2" applyNumberFormat="1" applyFont="1" applyBorder="1"/>
    <xf numFmtId="3" fontId="17" fillId="0" borderId="11" xfId="2" applyNumberFormat="1" applyFont="1" applyBorder="1"/>
    <xf numFmtId="164" fontId="17" fillId="0" borderId="11" xfId="2" applyNumberFormat="1" applyFont="1" applyBorder="1"/>
    <xf numFmtId="49" fontId="17" fillId="0" borderId="12" xfId="2" applyNumberFormat="1" applyFont="1" applyBorder="1" applyAlignment="1">
      <alignment horizontal="left"/>
    </xf>
    <xf numFmtId="0" fontId="17" fillId="0" borderId="21" xfId="2" applyFont="1" applyBorder="1" applyAlignment="1">
      <alignment horizontal="center"/>
    </xf>
    <xf numFmtId="0" fontId="9" fillId="0" borderId="16" xfId="2" applyFont="1" applyBorder="1"/>
    <xf numFmtId="3" fontId="9" fillId="0" borderId="18" xfId="2" applyNumberFormat="1" applyFont="1" applyBorder="1"/>
    <xf numFmtId="164" fontId="9" fillId="0" borderId="18" xfId="2" applyNumberFormat="1" applyFont="1" applyBorder="1"/>
    <xf numFmtId="0" fontId="22" fillId="0" borderId="0" xfId="0" applyFont="1"/>
    <xf numFmtId="49" fontId="17" fillId="0" borderId="9" xfId="2" applyNumberFormat="1" applyFont="1" applyBorder="1" applyAlignment="1">
      <alignment horizontal="left"/>
    </xf>
    <xf numFmtId="0" fontId="17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3" fontId="9" fillId="0" borderId="21" xfId="2" applyNumberFormat="1" applyFont="1" applyBorder="1"/>
    <xf numFmtId="164" fontId="9" fillId="0" borderId="21" xfId="2" applyNumberFormat="1" applyFont="1" applyBorder="1"/>
    <xf numFmtId="0" fontId="9" fillId="0" borderId="20" xfId="2" applyFont="1" applyBorder="1" applyAlignment="1">
      <alignment wrapText="1"/>
    </xf>
    <xf numFmtId="49" fontId="17" fillId="0" borderId="30" xfId="2" applyNumberFormat="1" applyFont="1" applyBorder="1" applyAlignment="1">
      <alignment horizontal="left"/>
    </xf>
    <xf numFmtId="0" fontId="17" fillId="0" borderId="0" xfId="2" applyFont="1" applyAlignment="1">
      <alignment horizontal="center"/>
    </xf>
    <xf numFmtId="0" fontId="9" fillId="0" borderId="0" xfId="2" applyFont="1" applyAlignment="1">
      <alignment wrapText="1"/>
    </xf>
    <xf numFmtId="0" fontId="17" fillId="0" borderId="21" xfId="2" applyFont="1" applyBorder="1"/>
    <xf numFmtId="49" fontId="9" fillId="0" borderId="31" xfId="2" applyNumberFormat="1" applyFont="1" applyBorder="1" applyAlignment="1">
      <alignment horizontal="center"/>
    </xf>
    <xf numFmtId="49" fontId="9" fillId="0" borderId="8" xfId="2" applyNumberFormat="1" applyFont="1" applyBorder="1" applyAlignment="1">
      <alignment horizontal="left"/>
    </xf>
    <xf numFmtId="0" fontId="9" fillId="0" borderId="8" xfId="2" applyFont="1" applyBorder="1"/>
    <xf numFmtId="0" fontId="20" fillId="0" borderId="0" xfId="0" applyFont="1"/>
    <xf numFmtId="4" fontId="20" fillId="0" borderId="0" xfId="0" applyNumberFormat="1" applyFont="1"/>
    <xf numFmtId="49" fontId="9" fillId="0" borderId="12" xfId="2" applyNumberFormat="1" applyFont="1" applyBorder="1" applyAlignment="1">
      <alignment horizontal="center"/>
    </xf>
    <xf numFmtId="49" fontId="9" fillId="0" borderId="21" xfId="3" applyNumberFormat="1" applyFont="1" applyBorder="1" applyAlignment="1">
      <alignment horizontal="center" wrapText="1"/>
    </xf>
    <xf numFmtId="49" fontId="9" fillId="0" borderId="21" xfId="2" applyNumberFormat="1" applyFont="1" applyBorder="1" applyAlignment="1">
      <alignment horizontal="left" wrapText="1"/>
    </xf>
    <xf numFmtId="3" fontId="9" fillId="0" borderId="14" xfId="3" applyNumberFormat="1" applyFont="1" applyBorder="1"/>
    <xf numFmtId="4" fontId="9" fillId="0" borderId="41" xfId="2" applyNumberFormat="1" applyFont="1" applyBorder="1"/>
    <xf numFmtId="4" fontId="9" fillId="0" borderId="0" xfId="2" applyNumberFormat="1" applyFont="1"/>
    <xf numFmtId="0" fontId="4" fillId="0" borderId="32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3" fillId="0" borderId="2" xfId="0" applyFont="1" applyBorder="1"/>
    <xf numFmtId="49" fontId="3" fillId="0" borderId="8" xfId="0" applyNumberFormat="1" applyFont="1" applyBorder="1" applyAlignment="1">
      <alignment horizontal="center"/>
    </xf>
    <xf numFmtId="0" fontId="4" fillId="0" borderId="52" xfId="0" applyFont="1" applyBorder="1"/>
    <xf numFmtId="0" fontId="4" fillId="0" borderId="33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7" fillId="0" borderId="22" xfId="0" applyFont="1" applyBorder="1"/>
    <xf numFmtId="4" fontId="7" fillId="0" borderId="50" xfId="0" applyNumberFormat="1" applyFont="1" applyBorder="1"/>
    <xf numFmtId="49" fontId="7" fillId="0" borderId="20" xfId="0" applyNumberFormat="1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49" fontId="18" fillId="0" borderId="12" xfId="0" applyNumberFormat="1" applyFont="1" applyBorder="1" applyAlignment="1">
      <alignment horizontal="center"/>
    </xf>
    <xf numFmtId="49" fontId="18" fillId="0" borderId="20" xfId="0" applyNumberFormat="1" applyFont="1" applyBorder="1" applyAlignment="1">
      <alignment horizontal="left"/>
    </xf>
    <xf numFmtId="0" fontId="18" fillId="0" borderId="21" xfId="0" applyFont="1" applyBorder="1"/>
    <xf numFmtId="0" fontId="18" fillId="0" borderId="22" xfId="0" applyFont="1" applyBorder="1"/>
    <xf numFmtId="49" fontId="18" fillId="0" borderId="20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49" fontId="18" fillId="0" borderId="23" xfId="0" applyNumberFormat="1" applyFont="1" applyBorder="1" applyAlignment="1">
      <alignment horizontal="left"/>
    </xf>
    <xf numFmtId="0" fontId="18" fillId="0" borderId="14" xfId="0" applyFont="1" applyBorder="1"/>
    <xf numFmtId="0" fontId="18" fillId="0" borderId="13" xfId="0" applyFont="1" applyBorder="1"/>
    <xf numFmtId="49" fontId="18" fillId="0" borderId="14" xfId="0" applyNumberFormat="1" applyFont="1" applyBorder="1" applyAlignment="1">
      <alignment horizontal="center"/>
    </xf>
    <xf numFmtId="0" fontId="18" fillId="0" borderId="14" xfId="0" applyFont="1" applyBorder="1" applyAlignment="1">
      <alignment horizontal="left"/>
    </xf>
    <xf numFmtId="49" fontId="29" fillId="0" borderId="12" xfId="0" applyNumberFormat="1" applyFont="1" applyBorder="1" applyAlignment="1">
      <alignment horizontal="center"/>
    </xf>
    <xf numFmtId="0" fontId="18" fillId="0" borderId="21" xfId="0" applyFont="1" applyBorder="1" applyAlignment="1">
      <alignment horizontal="left"/>
    </xf>
    <xf numFmtId="49" fontId="18" fillId="0" borderId="21" xfId="0" applyNumberFormat="1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49" fontId="18" fillId="0" borderId="47" xfId="0" applyNumberFormat="1" applyFont="1" applyBorder="1" applyAlignment="1">
      <alignment horizontal="center"/>
    </xf>
    <xf numFmtId="49" fontId="18" fillId="0" borderId="43" xfId="0" applyNumberFormat="1" applyFont="1" applyBorder="1" applyAlignment="1">
      <alignment horizontal="center"/>
    </xf>
    <xf numFmtId="0" fontId="18" fillId="0" borderId="40" xfId="0" applyFont="1" applyBorder="1" applyAlignment="1">
      <alignment horizontal="left"/>
    </xf>
    <xf numFmtId="0" fontId="18" fillId="0" borderId="41" xfId="0" applyFont="1" applyBorder="1"/>
    <xf numFmtId="164" fontId="1" fillId="0" borderId="40" xfId="0" applyNumberFormat="1" applyFont="1" applyBorder="1"/>
    <xf numFmtId="3" fontId="9" fillId="0" borderId="40" xfId="0" applyNumberFormat="1" applyFont="1" applyBorder="1"/>
    <xf numFmtId="49" fontId="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0" applyFont="1"/>
    <xf numFmtId="0" fontId="12" fillId="0" borderId="0" xfId="0" applyFont="1"/>
    <xf numFmtId="3" fontId="18" fillId="0" borderId="0" xfId="0" applyNumberFormat="1" applyFont="1"/>
    <xf numFmtId="4" fontId="17" fillId="0" borderId="0" xfId="0" applyNumberFormat="1" applyFont="1" applyAlignment="1">
      <alignment horizontal="center"/>
    </xf>
    <xf numFmtId="0" fontId="7" fillId="0" borderId="21" xfId="0" applyFont="1" applyBorder="1"/>
    <xf numFmtId="0" fontId="18" fillId="0" borderId="21" xfId="0" applyFont="1" applyBorder="1" applyAlignment="1">
      <alignment horizontal="center"/>
    </xf>
    <xf numFmtId="0" fontId="12" fillId="0" borderId="22" xfId="0" applyFont="1" applyBorder="1"/>
    <xf numFmtId="49" fontId="29" fillId="0" borderId="9" xfId="0" applyNumberFormat="1" applyFont="1" applyBorder="1" applyAlignment="1">
      <alignment horizontal="center"/>
    </xf>
    <xf numFmtId="0" fontId="29" fillId="0" borderId="11" xfId="0" applyFont="1" applyBorder="1"/>
    <xf numFmtId="0" fontId="18" fillId="0" borderId="20" xfId="0" applyFont="1" applyBorder="1" applyAlignment="1">
      <alignment horizontal="center"/>
    </xf>
    <xf numFmtId="0" fontId="18" fillId="0" borderId="17" xfId="0" applyFont="1" applyBorder="1" applyAlignment="1">
      <alignment horizontal="left"/>
    </xf>
    <xf numFmtId="0" fontId="7" fillId="0" borderId="17" xfId="0" applyFont="1" applyBorder="1"/>
    <xf numFmtId="3" fontId="7" fillId="0" borderId="16" xfId="0" applyNumberFormat="1" applyFont="1" applyBorder="1"/>
    <xf numFmtId="0" fontId="18" fillId="0" borderId="17" xfId="0" applyFont="1" applyBorder="1"/>
    <xf numFmtId="0" fontId="18" fillId="0" borderId="16" xfId="0" applyFont="1" applyBorder="1"/>
    <xf numFmtId="0" fontId="31" fillId="0" borderId="22" xfId="0" applyFont="1" applyBorder="1"/>
    <xf numFmtId="49" fontId="18" fillId="0" borderId="14" xfId="0" applyNumberFormat="1" applyFont="1" applyBorder="1" applyAlignment="1">
      <alignment horizontal="left"/>
    </xf>
    <xf numFmtId="0" fontId="18" fillId="0" borderId="12" xfId="0" applyFont="1" applyBorder="1"/>
    <xf numFmtId="49" fontId="18" fillId="0" borderId="23" xfId="0" applyNumberFormat="1" applyFont="1" applyBorder="1" applyAlignment="1">
      <alignment horizontal="center"/>
    </xf>
    <xf numFmtId="0" fontId="18" fillId="0" borderId="23" xfId="0" applyFont="1" applyBorder="1" applyAlignment="1">
      <alignment horizontal="left"/>
    </xf>
    <xf numFmtId="0" fontId="4" fillId="0" borderId="25" xfId="0" applyFont="1" applyBorder="1"/>
    <xf numFmtId="0" fontId="4" fillId="0" borderId="37" xfId="0" applyFont="1" applyBorder="1"/>
    <xf numFmtId="0" fontId="1" fillId="0" borderId="12" xfId="0" applyFont="1" applyBorder="1" applyAlignment="1">
      <alignment horizontal="center"/>
    </xf>
    <xf numFmtId="49" fontId="9" fillId="0" borderId="2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2" xfId="0" applyFont="1" applyBorder="1"/>
    <xf numFmtId="0" fontId="4" fillId="0" borderId="45" xfId="1" applyFont="1" applyBorder="1"/>
    <xf numFmtId="0" fontId="1" fillId="0" borderId="11" xfId="1" applyBorder="1"/>
    <xf numFmtId="0" fontId="22" fillId="0" borderId="34" xfId="0" applyFont="1" applyBorder="1"/>
    <xf numFmtId="4" fontId="7" fillId="0" borderId="21" xfId="2" applyNumberFormat="1" applyFont="1" applyBorder="1"/>
    <xf numFmtId="4" fontId="7" fillId="0" borderId="50" xfId="2" applyNumberFormat="1" applyFont="1" applyBorder="1"/>
    <xf numFmtId="4" fontId="1" fillId="0" borderId="50" xfId="0" applyNumberFormat="1" applyFont="1" applyBorder="1"/>
    <xf numFmtId="0" fontId="1" fillId="0" borderId="20" xfId="2" applyBorder="1"/>
    <xf numFmtId="0" fontId="1" fillId="0" borderId="20" xfId="2" applyBorder="1" applyAlignment="1">
      <alignment horizontal="left"/>
    </xf>
    <xf numFmtId="3" fontId="9" fillId="0" borderId="40" xfId="3" applyNumberFormat="1" applyFont="1" applyBorder="1"/>
    <xf numFmtId="164" fontId="9" fillId="0" borderId="40" xfId="3" applyNumberFormat="1" applyFont="1" applyBorder="1"/>
    <xf numFmtId="3" fontId="1" fillId="0" borderId="0" xfId="0" applyNumberFormat="1" applyFont="1"/>
    <xf numFmtId="3" fontId="1" fillId="0" borderId="20" xfId="0" applyNumberFormat="1" applyFont="1" applyBorder="1"/>
    <xf numFmtId="0" fontId="9" fillId="0" borderId="56" xfId="2" applyFont="1" applyBorder="1" applyAlignment="1">
      <alignment horizontal="left"/>
    </xf>
    <xf numFmtId="164" fontId="2" fillId="0" borderId="27" xfId="2" applyNumberFormat="1" applyFont="1" applyBorder="1"/>
    <xf numFmtId="14" fontId="13" fillId="0" borderId="16" xfId="0" applyNumberFormat="1" applyFont="1" applyBorder="1" applyAlignment="1">
      <alignment horizontal="center"/>
    </xf>
    <xf numFmtId="164" fontId="1" fillId="0" borderId="5" xfId="2" applyNumberFormat="1" applyBorder="1"/>
    <xf numFmtId="0" fontId="1" fillId="0" borderId="21" xfId="2" applyBorder="1" applyAlignment="1">
      <alignment vertical="center"/>
    </xf>
    <xf numFmtId="0" fontId="1" fillId="0" borderId="14" xfId="2" applyBorder="1" applyAlignment="1">
      <alignment vertical="center"/>
    </xf>
    <xf numFmtId="3" fontId="1" fillId="0" borderId="14" xfId="2" applyNumberFormat="1" applyBorder="1" applyAlignment="1">
      <alignment vertical="center"/>
    </xf>
    <xf numFmtId="0" fontId="2" fillId="0" borderId="38" xfId="2" applyFont="1" applyBorder="1" applyAlignment="1">
      <alignment vertical="center"/>
    </xf>
    <xf numFmtId="0" fontId="26" fillId="0" borderId="0" xfId="0" applyFont="1" applyAlignment="1">
      <alignment wrapText="1"/>
    </xf>
    <xf numFmtId="0" fontId="18" fillId="0" borderId="24" xfId="0" applyFont="1" applyBorder="1"/>
    <xf numFmtId="0" fontId="4" fillId="0" borderId="38" xfId="0" applyFont="1" applyBorder="1"/>
    <xf numFmtId="164" fontId="9" fillId="0" borderId="21" xfId="0" applyNumberFormat="1" applyFont="1" applyBorder="1"/>
    <xf numFmtId="0" fontId="2" fillId="0" borderId="38" xfId="2" applyFont="1" applyBorder="1"/>
    <xf numFmtId="0" fontId="26" fillId="0" borderId="0" xfId="0" applyFont="1" applyAlignment="1">
      <alignment horizontal="right"/>
    </xf>
    <xf numFmtId="10" fontId="26" fillId="0" borderId="0" xfId="0" applyNumberFormat="1" applyFont="1"/>
    <xf numFmtId="3" fontId="7" fillId="0" borderId="21" xfId="3" applyNumberFormat="1" applyFont="1" applyBorder="1"/>
    <xf numFmtId="164" fontId="7" fillId="0" borderId="21" xfId="3" applyNumberFormat="1" applyFont="1" applyBorder="1"/>
    <xf numFmtId="0" fontId="46" fillId="0" borderId="14" xfId="0" applyFont="1" applyBorder="1" applyAlignment="1">
      <alignment horizontal="right"/>
    </xf>
    <xf numFmtId="49" fontId="48" fillId="0" borderId="21" xfId="2" applyNumberFormat="1" applyFont="1" applyBorder="1" applyAlignment="1">
      <alignment horizontal="center"/>
    </xf>
    <xf numFmtId="0" fontId="9" fillId="0" borderId="21" xfId="3" applyFont="1" applyBorder="1" applyAlignment="1">
      <alignment vertical="center" wrapText="1"/>
    </xf>
    <xf numFmtId="0" fontId="48" fillId="0" borderId="21" xfId="2" applyFont="1" applyBorder="1" applyAlignment="1">
      <alignment horizontal="left"/>
    </xf>
    <xf numFmtId="164" fontId="1" fillId="0" borderId="21" xfId="3" applyNumberFormat="1" applyBorder="1"/>
    <xf numFmtId="0" fontId="1" fillId="0" borderId="11" xfId="2" applyBorder="1" applyAlignment="1">
      <alignment horizontal="left"/>
    </xf>
    <xf numFmtId="0" fontId="0" fillId="0" borderId="36" xfId="0" applyBorder="1"/>
    <xf numFmtId="0" fontId="13" fillId="0" borderId="24" xfId="0" applyFont="1" applyBorder="1" applyAlignment="1">
      <alignment horizontal="center"/>
    </xf>
    <xf numFmtId="0" fontId="13" fillId="0" borderId="18" xfId="0" applyFont="1" applyBorder="1"/>
    <xf numFmtId="49" fontId="13" fillId="0" borderId="18" xfId="0" applyNumberFormat="1" applyFont="1" applyBorder="1"/>
    <xf numFmtId="0" fontId="13" fillId="0" borderId="5" xfId="0" applyFont="1" applyBorder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3" fontId="13" fillId="0" borderId="5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5" fillId="0" borderId="36" xfId="0" applyFont="1" applyBorder="1"/>
    <xf numFmtId="3" fontId="1" fillId="2" borderId="21" xfId="2" applyNumberFormat="1" applyFill="1" applyBorder="1"/>
    <xf numFmtId="3" fontId="1" fillId="2" borderId="14" xfId="2" applyNumberFormat="1" applyFill="1" applyBorder="1"/>
    <xf numFmtId="49" fontId="10" fillId="0" borderId="53" xfId="0" applyNumberFormat="1" applyFont="1" applyBorder="1"/>
    <xf numFmtId="0" fontId="24" fillId="0" borderId="33" xfId="0" applyFont="1" applyBorder="1"/>
    <xf numFmtId="4" fontId="24" fillId="0" borderId="33" xfId="0" applyNumberFormat="1" applyFont="1" applyBorder="1"/>
    <xf numFmtId="4" fontId="7" fillId="0" borderId="21" xfId="0" applyNumberFormat="1" applyFont="1" applyBorder="1"/>
    <xf numFmtId="3" fontId="12" fillId="0" borderId="21" xfId="0" applyNumberFormat="1" applyFont="1" applyBorder="1"/>
    <xf numFmtId="164" fontId="12" fillId="0" borderId="21" xfId="0" applyNumberFormat="1" applyFont="1" applyBorder="1"/>
    <xf numFmtId="49" fontId="17" fillId="0" borderId="15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49" fontId="9" fillId="0" borderId="21" xfId="2" applyNumberFormat="1" applyFont="1" applyBorder="1" applyAlignment="1">
      <alignment horizontal="left" vertical="center" wrapText="1"/>
    </xf>
    <xf numFmtId="49" fontId="9" fillId="0" borderId="16" xfId="2" applyNumberFormat="1" applyFont="1" applyBorder="1" applyAlignment="1">
      <alignment horizontal="left" wrapText="1"/>
    </xf>
    <xf numFmtId="49" fontId="9" fillId="0" borderId="19" xfId="2" applyNumberFormat="1" applyFont="1" applyBorder="1" applyAlignment="1">
      <alignment horizontal="left" wrapText="1"/>
    </xf>
    <xf numFmtId="49" fontId="9" fillId="0" borderId="47" xfId="2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 wrapText="1"/>
    </xf>
    <xf numFmtId="49" fontId="9" fillId="0" borderId="40" xfId="2" applyNumberFormat="1" applyFont="1" applyBorder="1" applyAlignment="1">
      <alignment horizontal="left" wrapText="1"/>
    </xf>
    <xf numFmtId="0" fontId="9" fillId="0" borderId="40" xfId="2" applyFont="1" applyBorder="1"/>
    <xf numFmtId="49" fontId="9" fillId="0" borderId="0" xfId="2" applyNumberFormat="1" applyFont="1" applyAlignment="1">
      <alignment horizontal="center"/>
    </xf>
    <xf numFmtId="49" fontId="9" fillId="0" borderId="0" xfId="3" applyNumberFormat="1" applyFont="1" applyAlignment="1">
      <alignment horizontal="center" wrapText="1"/>
    </xf>
    <xf numFmtId="49" fontId="49" fillId="0" borderId="0" xfId="2" applyNumberFormat="1" applyFont="1" applyAlignment="1">
      <alignment horizontal="left" wrapText="1"/>
    </xf>
    <xf numFmtId="49" fontId="9" fillId="0" borderId="4" xfId="2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 wrapText="1"/>
    </xf>
    <xf numFmtId="49" fontId="9" fillId="0" borderId="16" xfId="2" applyNumberFormat="1" applyFont="1" applyBorder="1" applyAlignment="1">
      <alignment horizontal="left" vertical="center" wrapText="1"/>
    </xf>
    <xf numFmtId="3" fontId="1" fillId="0" borderId="5" xfId="0" applyNumberFormat="1" applyFont="1" applyBorder="1"/>
    <xf numFmtId="49" fontId="9" fillId="0" borderId="9" xfId="2" applyNumberFormat="1" applyFont="1" applyBorder="1" applyAlignment="1">
      <alignment horizontal="center"/>
    </xf>
    <xf numFmtId="49" fontId="9" fillId="0" borderId="22" xfId="2" applyNumberFormat="1" applyFont="1" applyBorder="1" applyAlignment="1">
      <alignment horizontal="right"/>
    </xf>
    <xf numFmtId="49" fontId="9" fillId="0" borderId="56" xfId="2" applyNumberFormat="1" applyFont="1" applyBorder="1" applyAlignment="1">
      <alignment horizontal="left" vertical="center" wrapText="1"/>
    </xf>
    <xf numFmtId="164" fontId="9" fillId="0" borderId="5" xfId="3" applyNumberFormat="1" applyFont="1" applyBorder="1"/>
    <xf numFmtId="49" fontId="9" fillId="0" borderId="14" xfId="3" applyNumberFormat="1" applyFont="1" applyBorder="1" applyAlignment="1">
      <alignment horizontal="center" wrapText="1"/>
    </xf>
    <xf numFmtId="49" fontId="9" fillId="0" borderId="14" xfId="2" applyNumberFormat="1" applyFont="1" applyBorder="1" applyAlignment="1">
      <alignment horizontal="left" vertical="center" wrapText="1"/>
    </xf>
    <xf numFmtId="0" fontId="9" fillId="0" borderId="14" xfId="2" applyFont="1" applyBorder="1"/>
    <xf numFmtId="49" fontId="1" fillId="0" borderId="21" xfId="2" applyNumberFormat="1" applyBorder="1" applyAlignment="1">
      <alignment horizontal="left"/>
    </xf>
    <xf numFmtId="49" fontId="1" fillId="0" borderId="16" xfId="2" applyNumberFormat="1" applyBorder="1" applyAlignment="1">
      <alignment horizontal="left"/>
    </xf>
    <xf numFmtId="49" fontId="1" fillId="0" borderId="17" xfId="2" applyNumberFormat="1" applyBorder="1" applyAlignment="1">
      <alignment horizontal="left"/>
    </xf>
    <xf numFmtId="0" fontId="7" fillId="0" borderId="22" xfId="2" applyFont="1" applyBorder="1"/>
    <xf numFmtId="49" fontId="1" fillId="0" borderId="21" xfId="2" applyNumberFormat="1" applyBorder="1" applyAlignment="1">
      <alignment horizontal="center"/>
    </xf>
    <xf numFmtId="0" fontId="1" fillId="0" borderId="21" xfId="0" applyFont="1" applyBorder="1" applyAlignment="1">
      <alignment horizontal="right"/>
    </xf>
    <xf numFmtId="0" fontId="4" fillId="0" borderId="25" xfId="2" applyFont="1" applyBorder="1"/>
    <xf numFmtId="0" fontId="4" fillId="0" borderId="36" xfId="2" applyFont="1" applyBorder="1"/>
    <xf numFmtId="49" fontId="2" fillId="0" borderId="25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0" fontId="2" fillId="0" borderId="26" xfId="2" applyFont="1" applyBorder="1"/>
    <xf numFmtId="0" fontId="4" fillId="0" borderId="0" xfId="1" applyFont="1"/>
    <xf numFmtId="49" fontId="7" fillId="0" borderId="16" xfId="2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/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/>
    </xf>
    <xf numFmtId="0" fontId="0" fillId="0" borderId="53" xfId="0" applyBorder="1"/>
    <xf numFmtId="0" fontId="0" fillId="0" borderId="62" xfId="0" applyBorder="1"/>
    <xf numFmtId="0" fontId="30" fillId="0" borderId="0" xfId="0" applyFont="1"/>
    <xf numFmtId="0" fontId="7" fillId="0" borderId="21" xfId="2" applyFont="1" applyBorder="1" applyAlignment="1">
      <alignment horizontal="left"/>
    </xf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0" fontId="1" fillId="0" borderId="18" xfId="2" applyBorder="1"/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3" fontId="7" fillId="0" borderId="21" xfId="2" applyNumberFormat="1" applyFont="1" applyBorder="1" applyAlignment="1">
      <alignment horizontal="right"/>
    </xf>
    <xf numFmtId="164" fontId="7" fillId="0" borderId="21" xfId="2" applyNumberFormat="1" applyFont="1" applyBorder="1" applyAlignment="1">
      <alignment horizontal="right"/>
    </xf>
    <xf numFmtId="0" fontId="1" fillId="0" borderId="12" xfId="2" applyBorder="1"/>
    <xf numFmtId="0" fontId="7" fillId="0" borderId="21" xfId="2" applyFont="1" applyBorder="1"/>
    <xf numFmtId="0" fontId="1" fillId="0" borderId="14" xfId="2" applyBorder="1"/>
    <xf numFmtId="0" fontId="1" fillId="0" borderId="21" xfId="2" applyBorder="1" applyAlignment="1">
      <alignment horizontal="center" vertical="center"/>
    </xf>
    <xf numFmtId="3" fontId="1" fillId="0" borderId="21" xfId="0" applyNumberFormat="1" applyFont="1" applyBorder="1" applyAlignment="1">
      <alignment horizontal="right"/>
    </xf>
    <xf numFmtId="0" fontId="33" fillId="0" borderId="0" xfId="0" applyFont="1"/>
    <xf numFmtId="49" fontId="1" fillId="0" borderId="4" xfId="2" applyNumberFormat="1" applyBorder="1" applyAlignment="1">
      <alignment horizontal="center"/>
    </xf>
    <xf numFmtId="0" fontId="1" fillId="0" borderId="5" xfId="2" applyBorder="1" applyAlignment="1">
      <alignment horizontal="center" vertical="center"/>
    </xf>
    <xf numFmtId="4" fontId="2" fillId="0" borderId="38" xfId="2" applyNumberFormat="1" applyFont="1" applyBorder="1"/>
    <xf numFmtId="4" fontId="2" fillId="0" borderId="49" xfId="0" applyNumberFormat="1" applyFont="1" applyBorder="1"/>
    <xf numFmtId="10" fontId="0" fillId="0" borderId="0" xfId="0" applyNumberFormat="1"/>
    <xf numFmtId="49" fontId="1" fillId="0" borderId="44" xfId="3" applyNumberFormat="1" applyBorder="1" applyAlignment="1">
      <alignment horizontal="center"/>
    </xf>
    <xf numFmtId="0" fontId="9" fillId="0" borderId="21" xfId="3" applyFont="1" applyBorder="1" applyAlignment="1">
      <alignment horizontal="left" wrapText="1"/>
    </xf>
    <xf numFmtId="0" fontId="24" fillId="0" borderId="21" xfId="0" applyFont="1" applyBorder="1"/>
    <xf numFmtId="49" fontId="1" fillId="0" borderId="45" xfId="3" applyNumberFormat="1" applyBorder="1" applyAlignment="1">
      <alignment horizontal="center"/>
    </xf>
    <xf numFmtId="49" fontId="9" fillId="0" borderId="5" xfId="3" applyNumberFormat="1" applyFont="1" applyBorder="1" applyAlignment="1">
      <alignment horizontal="center"/>
    </xf>
    <xf numFmtId="0" fontId="9" fillId="0" borderId="16" xfId="3" applyFont="1" applyBorder="1" applyAlignment="1">
      <alignment horizontal="left" wrapText="1"/>
    </xf>
    <xf numFmtId="49" fontId="9" fillId="0" borderId="66" xfId="3" applyNumberFormat="1" applyFont="1" applyBorder="1" applyAlignment="1">
      <alignment horizontal="center"/>
    </xf>
    <xf numFmtId="0" fontId="9" fillId="0" borderId="40" xfId="3" applyFont="1" applyBorder="1" applyAlignment="1">
      <alignment horizontal="left" wrapText="1"/>
    </xf>
    <xf numFmtId="0" fontId="2" fillId="0" borderId="8" xfId="3" applyFont="1" applyBorder="1" applyAlignment="1">
      <alignment horizontal="center" wrapText="1"/>
    </xf>
    <xf numFmtId="3" fontId="2" fillId="0" borderId="27" xfId="3" applyNumberFormat="1" applyFont="1" applyBorder="1" applyAlignment="1">
      <alignment vertical="top" wrapText="1"/>
    </xf>
    <xf numFmtId="164" fontId="2" fillId="0" borderId="27" xfId="3" applyNumberFormat="1" applyFont="1" applyBorder="1" applyAlignment="1">
      <alignment vertical="top" wrapText="1"/>
    </xf>
    <xf numFmtId="4" fontId="2" fillId="0" borderId="38" xfId="2" applyNumberFormat="1" applyFont="1" applyBorder="1" applyAlignment="1">
      <alignment vertical="top"/>
    </xf>
    <xf numFmtId="49" fontId="2" fillId="0" borderId="0" xfId="3" applyNumberFormat="1" applyFont="1" applyAlignment="1">
      <alignment horizontal="left"/>
    </xf>
    <xf numFmtId="164" fontId="35" fillId="0" borderId="0" xfId="0" applyNumberFormat="1" applyFont="1"/>
    <xf numFmtId="4" fontId="35" fillId="0" borderId="0" xfId="0" applyNumberFormat="1" applyFont="1"/>
    <xf numFmtId="0" fontId="0" fillId="0" borderId="27" xfId="0" applyBorder="1"/>
    <xf numFmtId="4" fontId="2" fillId="0" borderId="27" xfId="2" applyNumberFormat="1" applyFont="1" applyBorder="1" applyAlignment="1">
      <alignment vertical="top"/>
    </xf>
    <xf numFmtId="4" fontId="2" fillId="0" borderId="49" xfId="0" applyNumberFormat="1" applyFont="1" applyBorder="1" applyAlignment="1">
      <alignment vertical="top"/>
    </xf>
    <xf numFmtId="0" fontId="13" fillId="0" borderId="45" xfId="0" applyFont="1" applyBorder="1"/>
    <xf numFmtId="0" fontId="13" fillId="0" borderId="10" xfId="0" applyFont="1" applyBorder="1"/>
    <xf numFmtId="49" fontId="17" fillId="0" borderId="16" xfId="0" applyNumberFormat="1" applyFont="1" applyBorder="1"/>
    <xf numFmtId="0" fontId="14" fillId="0" borderId="33" xfId="0" applyFont="1" applyBorder="1"/>
    <xf numFmtId="0" fontId="0" fillId="0" borderId="11" xfId="0" applyBorder="1"/>
    <xf numFmtId="0" fontId="0" fillId="0" borderId="42" xfId="0" applyBorder="1"/>
    <xf numFmtId="49" fontId="6" fillId="0" borderId="9" xfId="2" applyNumberFormat="1" applyFont="1" applyBorder="1" applyAlignment="1">
      <alignment horizontal="center"/>
    </xf>
    <xf numFmtId="0" fontId="6" fillId="0" borderId="18" xfId="2" applyFont="1" applyBorder="1" applyAlignment="1">
      <alignment horizontal="left"/>
    </xf>
    <xf numFmtId="0" fontId="6" fillId="0" borderId="16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2" fontId="37" fillId="0" borderId="20" xfId="0" applyNumberFormat="1" applyFont="1" applyBorder="1"/>
    <xf numFmtId="2" fontId="37" fillId="0" borderId="50" xfId="0" applyNumberFormat="1" applyFont="1" applyBorder="1"/>
    <xf numFmtId="0" fontId="3" fillId="0" borderId="12" xfId="2" applyFont="1" applyBorder="1"/>
    <xf numFmtId="164" fontId="9" fillId="0" borderId="20" xfId="0" applyNumberFormat="1" applyFont="1" applyBorder="1"/>
    <xf numFmtId="2" fontId="38" fillId="0" borderId="20" xfId="0" applyNumberFormat="1" applyFont="1" applyBorder="1"/>
    <xf numFmtId="2" fontId="38" fillId="0" borderId="50" xfId="0" applyNumberFormat="1" applyFont="1" applyBorder="1"/>
    <xf numFmtId="0" fontId="3" fillId="0" borderId="46" xfId="2" applyFont="1" applyBorder="1"/>
    <xf numFmtId="0" fontId="3" fillId="0" borderId="23" xfId="2" applyFont="1" applyBorder="1"/>
    <xf numFmtId="3" fontId="9" fillId="0" borderId="23" xfId="0" applyNumberFormat="1" applyFont="1" applyBorder="1"/>
    <xf numFmtId="164" fontId="9" fillId="0" borderId="23" xfId="0" applyNumberFormat="1" applyFont="1" applyBorder="1"/>
    <xf numFmtId="0" fontId="0" fillId="0" borderId="29" xfId="0" applyBorder="1"/>
    <xf numFmtId="14" fontId="17" fillId="0" borderId="5" xfId="0" applyNumberFormat="1" applyFont="1" applyBorder="1" applyAlignment="1">
      <alignment horizontal="center"/>
    </xf>
    <xf numFmtId="14" fontId="13" fillId="0" borderId="34" xfId="0" applyNumberFormat="1" applyFont="1" applyBorder="1" applyAlignment="1">
      <alignment horizontal="center"/>
    </xf>
    <xf numFmtId="0" fontId="13" fillId="0" borderId="57" xfId="0" applyFont="1" applyBorder="1" applyAlignment="1">
      <alignment horizontal="center"/>
    </xf>
    <xf numFmtId="49" fontId="17" fillId="0" borderId="4" xfId="2" applyNumberFormat="1" applyFont="1" applyBorder="1" applyAlignment="1">
      <alignment horizontal="center"/>
    </xf>
    <xf numFmtId="3" fontId="17" fillId="0" borderId="14" xfId="3" applyNumberFormat="1" applyFont="1" applyBorder="1"/>
    <xf numFmtId="4" fontId="17" fillId="0" borderId="13" xfId="2" applyNumberFormat="1" applyFont="1" applyBorder="1"/>
    <xf numFmtId="4" fontId="17" fillId="0" borderId="35" xfId="0" applyNumberFormat="1" applyFont="1" applyBorder="1"/>
    <xf numFmtId="0" fontId="9" fillId="0" borderId="21" xfId="3" applyFont="1" applyBorder="1" applyAlignment="1">
      <alignment wrapText="1"/>
    </xf>
    <xf numFmtId="49" fontId="9" fillId="0" borderId="0" xfId="3" applyNumberFormat="1" applyFont="1" applyAlignment="1">
      <alignment horizontal="center"/>
    </xf>
    <xf numFmtId="0" fontId="9" fillId="0" borderId="0" xfId="3" applyFont="1" applyAlignment="1">
      <alignment horizontal="left" wrapText="1"/>
    </xf>
    <xf numFmtId="0" fontId="9" fillId="0" borderId="0" xfId="3" applyFont="1" applyAlignment="1">
      <alignment wrapText="1"/>
    </xf>
    <xf numFmtId="4" fontId="9" fillId="0" borderId="0" xfId="2" applyNumberFormat="1" applyFont="1" applyAlignment="1">
      <alignment horizontal="right"/>
    </xf>
    <xf numFmtId="0" fontId="9" fillId="0" borderId="16" xfId="3" applyFont="1" applyBorder="1" applyAlignment="1">
      <alignment wrapText="1"/>
    </xf>
    <xf numFmtId="4" fontId="9" fillId="0" borderId="16" xfId="2" applyNumberFormat="1" applyFont="1" applyBorder="1" applyAlignment="1">
      <alignment horizontal="right"/>
    </xf>
    <xf numFmtId="49" fontId="9" fillId="0" borderId="9" xfId="3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49" fontId="9" fillId="0" borderId="15" xfId="3" applyNumberFormat="1" applyFont="1" applyBorder="1" applyAlignment="1">
      <alignment horizontal="center"/>
    </xf>
    <xf numFmtId="49" fontId="9" fillId="0" borderId="14" xfId="3" applyNumberFormat="1" applyFont="1" applyBorder="1" applyAlignment="1">
      <alignment horizontal="center"/>
    </xf>
    <xf numFmtId="0" fontId="9" fillId="0" borderId="14" xfId="3" applyFont="1" applyBorder="1" applyAlignment="1">
      <alignment horizontal="left" wrapText="1"/>
    </xf>
    <xf numFmtId="0" fontId="9" fillId="0" borderId="14" xfId="3" applyFont="1" applyBorder="1" applyAlignment="1">
      <alignment wrapText="1"/>
    </xf>
    <xf numFmtId="164" fontId="9" fillId="0" borderId="14" xfId="3" applyNumberFormat="1" applyFont="1" applyBorder="1"/>
    <xf numFmtId="4" fontId="9" fillId="0" borderId="14" xfId="2" applyNumberFormat="1" applyFont="1" applyBorder="1"/>
    <xf numFmtId="3" fontId="13" fillId="0" borderId="27" xfId="3" applyNumberFormat="1" applyFont="1" applyBorder="1" applyAlignment="1">
      <alignment vertical="top" wrapText="1"/>
    </xf>
    <xf numFmtId="164" fontId="13" fillId="0" borderId="27" xfId="3" applyNumberFormat="1" applyFont="1" applyBorder="1" applyAlignment="1">
      <alignment vertical="top" wrapText="1"/>
    </xf>
    <xf numFmtId="4" fontId="13" fillId="0" borderId="38" xfId="2" applyNumberFormat="1" applyFont="1" applyBorder="1" applyAlignment="1">
      <alignment vertical="top"/>
    </xf>
    <xf numFmtId="4" fontId="13" fillId="0" borderId="49" xfId="2" applyNumberFormat="1" applyFont="1" applyBorder="1"/>
    <xf numFmtId="4" fontId="13" fillId="0" borderId="49" xfId="0" applyNumberFormat="1" applyFont="1" applyBorder="1" applyAlignment="1">
      <alignment vertical="top"/>
    </xf>
    <xf numFmtId="4" fontId="13" fillId="0" borderId="36" xfId="2" applyNumberFormat="1" applyFont="1" applyBorder="1"/>
    <xf numFmtId="4" fontId="13" fillId="0" borderId="49" xfId="0" applyNumberFormat="1" applyFont="1" applyBorder="1"/>
    <xf numFmtId="14" fontId="13" fillId="0" borderId="5" xfId="0" applyNumberFormat="1" applyFont="1" applyBorder="1" applyAlignment="1">
      <alignment horizontal="center"/>
    </xf>
    <xf numFmtId="3" fontId="13" fillId="0" borderId="8" xfId="3" applyNumberFormat="1" applyFont="1" applyBorder="1" applyAlignment="1">
      <alignment vertical="top" wrapText="1"/>
    </xf>
    <xf numFmtId="164" fontId="13" fillId="0" borderId="8" xfId="3" applyNumberFormat="1" applyFont="1" applyBorder="1" applyAlignment="1">
      <alignment vertical="top" wrapText="1"/>
    </xf>
    <xf numFmtId="4" fontId="13" fillId="0" borderId="64" xfId="2" applyNumberFormat="1" applyFont="1" applyBorder="1" applyAlignment="1">
      <alignment vertical="top"/>
    </xf>
    <xf numFmtId="4" fontId="13" fillId="0" borderId="55" xfId="2" applyNumberFormat="1" applyFont="1" applyBorder="1"/>
    <xf numFmtId="0" fontId="3" fillId="0" borderId="0" xfId="1" applyFont="1"/>
    <xf numFmtId="14" fontId="17" fillId="0" borderId="64" xfId="0" applyNumberFormat="1" applyFont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6" fillId="0" borderId="45" xfId="1" applyFont="1" applyBorder="1" applyAlignment="1">
      <alignment horizontal="left"/>
    </xf>
    <xf numFmtId="0" fontId="1" fillId="0" borderId="10" xfId="1" applyBorder="1"/>
    <xf numFmtId="0" fontId="1" fillId="0" borderId="16" xfId="1" applyBorder="1"/>
    <xf numFmtId="0" fontId="25" fillId="0" borderId="0" xfId="0" applyFont="1"/>
    <xf numFmtId="0" fontId="40" fillId="0" borderId="29" xfId="0" applyFont="1" applyBorder="1"/>
    <xf numFmtId="0" fontId="35" fillId="0" borderId="3" xfId="0" applyFont="1" applyBorder="1"/>
    <xf numFmtId="49" fontId="7" fillId="0" borderId="21" xfId="2" applyNumberFormat="1" applyFont="1" applyBorder="1"/>
    <xf numFmtId="2" fontId="37" fillId="0" borderId="21" xfId="0" applyNumberFormat="1" applyFont="1" applyBorder="1"/>
    <xf numFmtId="49" fontId="7" fillId="0" borderId="15" xfId="2" applyNumberFormat="1" applyFont="1" applyBorder="1" applyAlignment="1">
      <alignment horizontal="center"/>
    </xf>
    <xf numFmtId="49" fontId="7" fillId="0" borderId="23" xfId="2" applyNumberFormat="1" applyFont="1" applyBorder="1" applyAlignment="1">
      <alignment horizontal="center"/>
    </xf>
    <xf numFmtId="0" fontId="7" fillId="0" borderId="13" xfId="2" applyFont="1" applyBorder="1" applyAlignment="1">
      <alignment horizontal="left"/>
    </xf>
    <xf numFmtId="49" fontId="3" fillId="0" borderId="20" xfId="2" applyNumberFormat="1" applyFont="1" applyBorder="1" applyAlignment="1">
      <alignment horizontal="center"/>
    </xf>
    <xf numFmtId="0" fontId="3" fillId="0" borderId="22" xfId="2" applyFont="1" applyBorder="1" applyAlignment="1">
      <alignment horizontal="left" shrinkToFit="1"/>
    </xf>
    <xf numFmtId="3" fontId="3" fillId="0" borderId="16" xfId="2" applyNumberFormat="1" applyFont="1" applyBorder="1"/>
    <xf numFmtId="164" fontId="3" fillId="0" borderId="16" xfId="2" applyNumberFormat="1" applyFont="1" applyBorder="1"/>
    <xf numFmtId="3" fontId="9" fillId="0" borderId="16" xfId="2" applyNumberFormat="1" applyFont="1" applyBorder="1"/>
    <xf numFmtId="2" fontId="38" fillId="0" borderId="21" xfId="0" applyNumberFormat="1" applyFont="1" applyBorder="1"/>
    <xf numFmtId="0" fontId="18" fillId="0" borderId="22" xfId="2" applyFont="1" applyBorder="1" applyAlignment="1">
      <alignment horizontal="left"/>
    </xf>
    <xf numFmtId="3" fontId="18" fillId="0" borderId="21" xfId="2" applyNumberFormat="1" applyFont="1" applyBorder="1"/>
    <xf numFmtId="164" fontId="18" fillId="0" borderId="21" xfId="2" applyNumberFormat="1" applyFont="1" applyBorder="1"/>
    <xf numFmtId="3" fontId="41" fillId="0" borderId="21" xfId="0" applyNumberFormat="1" applyFont="1" applyBorder="1"/>
    <xf numFmtId="3" fontId="11" fillId="0" borderId="21" xfId="2" applyNumberFormat="1" applyFont="1" applyBorder="1"/>
    <xf numFmtId="164" fontId="11" fillId="0" borderId="21" xfId="2" applyNumberFormat="1" applyFont="1" applyBorder="1"/>
    <xf numFmtId="3" fontId="39" fillId="0" borderId="16" xfId="2" applyNumberFormat="1" applyFont="1" applyBorder="1"/>
    <xf numFmtId="3" fontId="38" fillId="0" borderId="21" xfId="0" applyNumberFormat="1" applyFont="1" applyBorder="1"/>
    <xf numFmtId="49" fontId="3" fillId="0" borderId="47" xfId="2" applyNumberFormat="1" applyFont="1" applyBorder="1" applyAlignment="1">
      <alignment horizontal="center"/>
    </xf>
    <xf numFmtId="49" fontId="3" fillId="0" borderId="43" xfId="2" applyNumberFormat="1" applyFont="1" applyBorder="1" applyAlignment="1">
      <alignment horizontal="center"/>
    </xf>
    <xf numFmtId="0" fontId="18" fillId="0" borderId="41" xfId="2" applyFont="1" applyBorder="1" applyAlignment="1">
      <alignment horizontal="left"/>
    </xf>
    <xf numFmtId="0" fontId="3" fillId="0" borderId="40" xfId="2" applyFont="1" applyBorder="1"/>
    <xf numFmtId="3" fontId="11" fillId="0" borderId="40" xfId="2" applyNumberFormat="1" applyFont="1" applyBorder="1"/>
    <xf numFmtId="164" fontId="11" fillId="0" borderId="40" xfId="2" applyNumberFormat="1" applyFont="1" applyBorder="1"/>
    <xf numFmtId="2" fontId="38" fillId="0" borderId="40" xfId="0" applyNumberFormat="1" applyFont="1" applyBorder="1"/>
    <xf numFmtId="2" fontId="38" fillId="0" borderId="51" xfId="0" applyNumberFormat="1" applyFont="1" applyBorder="1"/>
    <xf numFmtId="49" fontId="3" fillId="0" borderId="0" xfId="2" applyNumberFormat="1" applyFont="1" applyAlignment="1">
      <alignment horizontal="center"/>
    </xf>
    <xf numFmtId="0" fontId="18" fillId="0" borderId="0" xfId="2" applyFont="1" applyAlignment="1">
      <alignment horizontal="left"/>
    </xf>
    <xf numFmtId="0" fontId="3" fillId="0" borderId="0" xfId="2" applyFont="1"/>
    <xf numFmtId="3" fontId="11" fillId="0" borderId="0" xfId="2" applyNumberFormat="1" applyFont="1"/>
    <xf numFmtId="0" fontId="6" fillId="0" borderId="58" xfId="1" applyFont="1" applyBorder="1"/>
    <xf numFmtId="49" fontId="6" fillId="0" borderId="18" xfId="1" applyNumberFormat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49" fontId="6" fillId="0" borderId="39" xfId="1" applyNumberFormat="1" applyFont="1" applyBorder="1" applyAlignment="1">
      <alignment horizontal="center"/>
    </xf>
    <xf numFmtId="0" fontId="0" fillId="0" borderId="32" xfId="0" applyBorder="1"/>
    <xf numFmtId="0" fontId="18" fillId="0" borderId="21" xfId="2" applyFont="1" applyBorder="1" applyAlignment="1">
      <alignment horizontal="left"/>
    </xf>
    <xf numFmtId="0" fontId="3" fillId="0" borderId="20" xfId="2" applyFont="1" applyBorder="1"/>
    <xf numFmtId="3" fontId="3" fillId="0" borderId="21" xfId="2" applyNumberFormat="1" applyFont="1" applyBorder="1"/>
    <xf numFmtId="164" fontId="3" fillId="0" borderId="21" xfId="2" applyNumberFormat="1" applyFont="1" applyBorder="1"/>
    <xf numFmtId="0" fontId="7" fillId="0" borderId="11" xfId="2" applyFont="1" applyBorder="1" applyAlignment="1" applyProtection="1">
      <alignment horizontal="center"/>
      <protection locked="0"/>
    </xf>
    <xf numFmtId="0" fontId="7" fillId="0" borderId="11" xfId="2" applyFont="1" applyBorder="1"/>
    <xf numFmtId="3" fontId="7" fillId="0" borderId="16" xfId="2" applyNumberFormat="1" applyFont="1" applyBorder="1"/>
    <xf numFmtId="164" fontId="7" fillId="0" borderId="16" xfId="2" applyNumberFormat="1" applyFont="1" applyBorder="1"/>
    <xf numFmtId="0" fontId="3" fillId="0" borderId="12" xfId="2" applyFont="1" applyBorder="1" applyAlignment="1">
      <alignment horizontal="center"/>
    </xf>
    <xf numFmtId="49" fontId="3" fillId="0" borderId="20" xfId="2" applyNumberFormat="1" applyFont="1" applyBorder="1" applyAlignment="1" applyProtection="1">
      <alignment horizontal="center"/>
      <protection locked="0"/>
    </xf>
    <xf numFmtId="0" fontId="11" fillId="0" borderId="19" xfId="2" applyFont="1" applyBorder="1"/>
    <xf numFmtId="3" fontId="18" fillId="0" borderId="21" xfId="0" applyNumberFormat="1" applyFont="1" applyBorder="1" applyAlignment="1">
      <alignment horizontal="right"/>
    </xf>
    <xf numFmtId="164" fontId="18" fillId="0" borderId="21" xfId="0" applyNumberFormat="1" applyFont="1" applyBorder="1" applyAlignment="1">
      <alignment horizontal="right"/>
    </xf>
    <xf numFmtId="0" fontId="3" fillId="0" borderId="19" xfId="2" applyFont="1" applyBorder="1"/>
    <xf numFmtId="0" fontId="18" fillId="0" borderId="12" xfId="2" applyFont="1" applyBorder="1" applyAlignment="1">
      <alignment horizontal="center"/>
    </xf>
    <xf numFmtId="49" fontId="18" fillId="0" borderId="20" xfId="2" applyNumberFormat="1" applyFont="1" applyBorder="1" applyAlignment="1" applyProtection="1">
      <alignment horizontal="center"/>
      <protection locked="0"/>
    </xf>
    <xf numFmtId="0" fontId="18" fillId="0" borderId="19" xfId="2" applyFont="1" applyBorder="1"/>
    <xf numFmtId="0" fontId="3" fillId="0" borderId="15" xfId="2" applyFont="1" applyBorder="1" applyAlignment="1">
      <alignment horizontal="center"/>
    </xf>
    <xf numFmtId="49" fontId="3" fillId="0" borderId="23" xfId="2" applyNumberFormat="1" applyFont="1" applyBorder="1" applyAlignment="1" applyProtection="1">
      <alignment horizontal="center"/>
      <protection locked="0"/>
    </xf>
    <xf numFmtId="0" fontId="18" fillId="0" borderId="14" xfId="2" applyFont="1" applyBorder="1" applyAlignment="1">
      <alignment horizontal="left"/>
    </xf>
    <xf numFmtId="0" fontId="3" fillId="0" borderId="56" xfId="2" applyFont="1" applyBorder="1"/>
    <xf numFmtId="3" fontId="18" fillId="0" borderId="14" xfId="0" applyNumberFormat="1" applyFont="1" applyBorder="1" applyAlignment="1">
      <alignment horizontal="right"/>
    </xf>
    <xf numFmtId="164" fontId="18" fillId="0" borderId="14" xfId="0" applyNumberFormat="1" applyFont="1" applyBorder="1" applyAlignment="1">
      <alignment horizontal="right"/>
    </xf>
    <xf numFmtId="0" fontId="3" fillId="0" borderId="47" xfId="2" applyFont="1" applyBorder="1" applyAlignment="1">
      <alignment horizontal="center"/>
    </xf>
    <xf numFmtId="49" fontId="3" fillId="0" borderId="43" xfId="2" applyNumberFormat="1" applyFont="1" applyBorder="1" applyAlignment="1" applyProtection="1">
      <alignment horizontal="center"/>
      <protection locked="0"/>
    </xf>
    <xf numFmtId="0" fontId="18" fillId="0" borderId="40" xfId="2" applyFont="1" applyBorder="1" applyAlignment="1">
      <alignment horizontal="left"/>
    </xf>
    <xf numFmtId="0" fontId="3" fillId="0" borderId="48" xfId="2" applyFont="1" applyBorder="1"/>
    <xf numFmtId="3" fontId="18" fillId="0" borderId="40" xfId="0" applyNumberFormat="1" applyFont="1" applyBorder="1" applyAlignment="1">
      <alignment horizontal="right"/>
    </xf>
    <xf numFmtId="164" fontId="18" fillId="0" borderId="40" xfId="0" applyNumberFormat="1" applyFont="1" applyBorder="1" applyAlignment="1">
      <alignment horizontal="right"/>
    </xf>
    <xf numFmtId="3" fontId="41" fillId="0" borderId="40" xfId="0" applyNumberFormat="1" applyFont="1" applyBorder="1"/>
    <xf numFmtId="0" fontId="3" fillId="0" borderId="0" xfId="2" applyFont="1" applyAlignment="1">
      <alignment horizontal="center"/>
    </xf>
    <xf numFmtId="49" fontId="3" fillId="0" borderId="0" xfId="2" applyNumberFormat="1" applyFont="1" applyAlignment="1" applyProtection="1">
      <alignment horizontal="center"/>
      <protection locked="0"/>
    </xf>
    <xf numFmtId="3" fontId="18" fillId="0" borderId="0" xfId="0" applyNumberFormat="1" applyFont="1" applyAlignment="1">
      <alignment horizontal="right"/>
    </xf>
    <xf numFmtId="2" fontId="1" fillId="0" borderId="0" xfId="0" applyNumberFormat="1" applyFont="1"/>
    <xf numFmtId="165" fontId="38" fillId="0" borderId="21" xfId="0" applyNumberFormat="1" applyFont="1" applyBorder="1"/>
    <xf numFmtId="164" fontId="14" fillId="0" borderId="0" xfId="0" applyNumberFormat="1" applyFont="1"/>
    <xf numFmtId="165" fontId="38" fillId="0" borderId="40" xfId="0" applyNumberFormat="1" applyFont="1" applyBorder="1"/>
    <xf numFmtId="3" fontId="17" fillId="0" borderId="0" xfId="0" applyNumberFormat="1" applyFont="1" applyAlignment="1">
      <alignment horizontal="right" vertical="center"/>
    </xf>
    <xf numFmtId="1" fontId="42" fillId="0" borderId="0" xfId="0" applyNumberFormat="1" applyFont="1"/>
    <xf numFmtId="2" fontId="37" fillId="0" borderId="0" xfId="0" applyNumberFormat="1" applyFont="1"/>
    <xf numFmtId="3" fontId="12" fillId="0" borderId="0" xfId="0" applyNumberFormat="1" applyFont="1" applyAlignment="1">
      <alignment horizontal="right" vertical="center"/>
    </xf>
    <xf numFmtId="1" fontId="41" fillId="0" borderId="0" xfId="0" applyNumberFormat="1" applyFont="1"/>
    <xf numFmtId="2" fontId="38" fillId="0" borderId="0" xfId="0" applyNumberFormat="1" applyFont="1"/>
    <xf numFmtId="164" fontId="17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164" fontId="7" fillId="0" borderId="0" xfId="2" applyNumberFormat="1" applyFont="1"/>
    <xf numFmtId="3" fontId="7" fillId="0" borderId="0" xfId="2" applyNumberFormat="1" applyFont="1"/>
    <xf numFmtId="2" fontId="43" fillId="0" borderId="0" xfId="0" applyNumberFormat="1" applyFont="1" applyAlignment="1">
      <alignment horizontal="right"/>
    </xf>
    <xf numFmtId="2" fontId="43" fillId="0" borderId="0" xfId="0" applyNumberFormat="1" applyFont="1"/>
    <xf numFmtId="3" fontId="1" fillId="0" borderId="0" xfId="2" applyNumberFormat="1"/>
    <xf numFmtId="2" fontId="20" fillId="0" borderId="0" xfId="0" applyNumberFormat="1" applyFont="1" applyAlignment="1">
      <alignment horizontal="right"/>
    </xf>
    <xf numFmtId="2" fontId="20" fillId="0" borderId="0" xfId="0" applyNumberFormat="1" applyFont="1"/>
    <xf numFmtId="2" fontId="38" fillId="0" borderId="0" xfId="0" applyNumberFormat="1" applyFont="1" applyAlignment="1">
      <alignment horizontal="right"/>
    </xf>
    <xf numFmtId="3" fontId="17" fillId="0" borderId="0" xfId="0" applyNumberFormat="1" applyFont="1"/>
    <xf numFmtId="3" fontId="41" fillId="0" borderId="0" xfId="0" applyNumberFormat="1" applyFont="1"/>
    <xf numFmtId="164" fontId="9" fillId="0" borderId="0" xfId="0" applyNumberFormat="1" applyFont="1" applyAlignment="1">
      <alignment horizontal="right"/>
    </xf>
    <xf numFmtId="164" fontId="2" fillId="0" borderId="0" xfId="2" applyNumberFormat="1" applyFont="1"/>
    <xf numFmtId="3" fontId="2" fillId="0" borderId="0" xfId="2" applyNumberFormat="1" applyFont="1"/>
    <xf numFmtId="2" fontId="44" fillId="0" borderId="0" xfId="0" applyNumberFormat="1" applyFont="1"/>
    <xf numFmtId="1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12" xfId="2" applyFont="1" applyBorder="1" applyAlignment="1">
      <alignment horizontal="center"/>
    </xf>
    <xf numFmtId="49" fontId="17" fillId="0" borderId="21" xfId="2" applyNumberFormat="1" applyFont="1" applyBorder="1" applyAlignment="1" applyProtection="1">
      <alignment horizontal="center"/>
      <protection locked="0"/>
    </xf>
    <xf numFmtId="0" fontId="17" fillId="0" borderId="2" xfId="2" applyFont="1" applyBorder="1" applyAlignment="1">
      <alignment horizontal="left"/>
    </xf>
    <xf numFmtId="0" fontId="17" fillId="0" borderId="29" xfId="2" applyFont="1" applyBorder="1"/>
    <xf numFmtId="3" fontId="17" fillId="0" borderId="21" xfId="0" applyNumberFormat="1" applyFont="1" applyBorder="1" applyAlignment="1">
      <alignment horizontal="right" vertical="center"/>
    </xf>
    <xf numFmtId="164" fontId="17" fillId="0" borderId="21" xfId="0" applyNumberFormat="1" applyFont="1" applyBorder="1" applyAlignment="1">
      <alignment horizontal="right" vertical="center"/>
    </xf>
    <xf numFmtId="0" fontId="12" fillId="0" borderId="21" xfId="2" applyFont="1" applyBorder="1"/>
    <xf numFmtId="3" fontId="12" fillId="0" borderId="21" xfId="0" applyNumberFormat="1" applyFont="1" applyBorder="1" applyAlignment="1">
      <alignment horizontal="right" vertical="center"/>
    </xf>
    <xf numFmtId="165" fontId="12" fillId="0" borderId="21" xfId="0" applyNumberFormat="1" applyFont="1" applyBorder="1" applyAlignment="1">
      <alignment horizontal="right" vertical="center"/>
    </xf>
    <xf numFmtId="0" fontId="12" fillId="0" borderId="21" xfId="2" applyFont="1" applyBorder="1" applyAlignment="1">
      <alignment wrapText="1"/>
    </xf>
    <xf numFmtId="49" fontId="9" fillId="0" borderId="21" xfId="2" applyNumberFormat="1" applyFont="1" applyBorder="1" applyAlignment="1" applyProtection="1">
      <alignment horizontal="center"/>
      <protection locked="0"/>
    </xf>
    <xf numFmtId="49" fontId="17" fillId="0" borderId="23" xfId="2" applyNumberFormat="1" applyFont="1" applyBorder="1" applyAlignment="1" applyProtection="1">
      <alignment horizontal="center"/>
      <protection locked="0"/>
    </xf>
    <xf numFmtId="49" fontId="17" fillId="0" borderId="14" xfId="2" applyNumberFormat="1" applyFont="1" applyBorder="1"/>
    <xf numFmtId="0" fontId="17" fillId="0" borderId="14" xfId="2" applyFont="1" applyBorder="1"/>
    <xf numFmtId="0" fontId="9" fillId="0" borderId="14" xfId="0" applyFont="1" applyBorder="1"/>
    <xf numFmtId="165" fontId="9" fillId="0" borderId="14" xfId="0" applyNumberFormat="1" applyFont="1" applyBorder="1"/>
    <xf numFmtId="3" fontId="17" fillId="0" borderId="14" xfId="3" applyNumberFormat="1" applyFont="1" applyBorder="1" applyAlignment="1">
      <alignment horizontal="right"/>
    </xf>
    <xf numFmtId="2" fontId="37" fillId="0" borderId="21" xfId="0" applyNumberFormat="1" applyFont="1" applyBorder="1" applyAlignment="1">
      <alignment horizontal="right"/>
    </xf>
    <xf numFmtId="49" fontId="17" fillId="0" borderId="16" xfId="2" applyNumberFormat="1" applyFont="1" applyBorder="1" applyProtection="1">
      <protection locked="0"/>
    </xf>
    <xf numFmtId="0" fontId="17" fillId="0" borderId="16" xfId="2" applyFont="1" applyBorder="1"/>
    <xf numFmtId="164" fontId="17" fillId="0" borderId="16" xfId="0" applyNumberFormat="1" applyFont="1" applyBorder="1"/>
    <xf numFmtId="3" fontId="17" fillId="0" borderId="16" xfId="3" applyNumberFormat="1" applyFont="1" applyBorder="1" applyAlignment="1">
      <alignment horizontal="right"/>
    </xf>
    <xf numFmtId="0" fontId="0" fillId="0" borderId="45" xfId="0" applyBorder="1"/>
    <xf numFmtId="49" fontId="17" fillId="0" borderId="0" xfId="2" applyNumberFormat="1" applyFont="1" applyProtection="1">
      <protection locked="0"/>
    </xf>
    <xf numFmtId="3" fontId="17" fillId="0" borderId="5" xfId="0" applyNumberFormat="1" applyFont="1" applyBorder="1"/>
    <xf numFmtId="165" fontId="17" fillId="0" borderId="5" xfId="0" applyNumberFormat="1" applyFont="1" applyBorder="1"/>
    <xf numFmtId="49" fontId="6" fillId="0" borderId="44" xfId="2" applyNumberFormat="1" applyFont="1" applyBorder="1" applyAlignment="1">
      <alignment horizontal="center"/>
    </xf>
    <xf numFmtId="3" fontId="17" fillId="0" borderId="21" xfId="2" applyNumberFormat="1" applyFont="1" applyBorder="1"/>
    <xf numFmtId="164" fontId="17" fillId="0" borderId="21" xfId="2" applyNumberFormat="1" applyFont="1" applyBorder="1"/>
    <xf numFmtId="0" fontId="9" fillId="0" borderId="10" xfId="2" applyFont="1" applyBorder="1"/>
    <xf numFmtId="0" fontId="9" fillId="0" borderId="21" xfId="0" applyFont="1" applyBorder="1" applyAlignment="1">
      <alignment horizontal="right"/>
    </xf>
    <xf numFmtId="2" fontId="38" fillId="0" borderId="21" xfId="0" applyNumberFormat="1" applyFont="1" applyBorder="1" applyAlignment="1">
      <alignment horizontal="right"/>
    </xf>
    <xf numFmtId="2" fontId="37" fillId="0" borderId="14" xfId="0" applyNumberFormat="1" applyFont="1" applyBorder="1"/>
    <xf numFmtId="49" fontId="6" fillId="0" borderId="46" xfId="2" applyNumberFormat="1" applyFont="1" applyBorder="1" applyAlignment="1">
      <alignment horizontal="center"/>
    </xf>
    <xf numFmtId="49" fontId="9" fillId="0" borderId="14" xfId="2" applyNumberFormat="1" applyFont="1" applyBorder="1" applyAlignment="1" applyProtection="1">
      <alignment horizontal="center"/>
      <protection locked="0"/>
    </xf>
    <xf numFmtId="2" fontId="38" fillId="0" borderId="14" xfId="0" applyNumberFormat="1" applyFont="1" applyBorder="1"/>
    <xf numFmtId="2" fontId="38" fillId="0" borderId="50" xfId="0" applyNumberFormat="1" applyFont="1" applyBorder="1" applyAlignment="1">
      <alignment horizontal="right"/>
    </xf>
    <xf numFmtId="49" fontId="6" fillId="0" borderId="15" xfId="2" applyNumberFormat="1" applyFont="1" applyBorder="1" applyAlignment="1">
      <alignment horizontal="center"/>
    </xf>
    <xf numFmtId="0" fontId="9" fillId="0" borderId="5" xfId="2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2" fontId="38" fillId="0" borderId="5" xfId="0" applyNumberFormat="1" applyFont="1" applyBorder="1"/>
    <xf numFmtId="2" fontId="38" fillId="0" borderId="35" xfId="0" applyNumberFormat="1" applyFont="1" applyBorder="1"/>
    <xf numFmtId="2" fontId="44" fillId="0" borderId="37" xfId="0" applyNumberFormat="1" applyFont="1" applyBorder="1"/>
    <xf numFmtId="2" fontId="44" fillId="0" borderId="27" xfId="0" applyNumberFormat="1" applyFont="1" applyBorder="1"/>
    <xf numFmtId="2" fontId="44" fillId="0" borderId="49" xfId="0" applyNumberFormat="1" applyFont="1" applyBorder="1"/>
    <xf numFmtId="10" fontId="28" fillId="0" borderId="0" xfId="2" applyNumberFormat="1" applyFont="1" applyAlignment="1">
      <alignment horizontal="center" wrapText="1"/>
    </xf>
    <xf numFmtId="4" fontId="9" fillId="0" borderId="0" xfId="0" applyNumberFormat="1" applyFont="1" applyAlignment="1">
      <alignment horizontal="right"/>
    </xf>
    <xf numFmtId="4" fontId="17" fillId="0" borderId="21" xfId="3" applyNumberFormat="1" applyFont="1" applyBorder="1"/>
    <xf numFmtId="49" fontId="9" fillId="0" borderId="20" xfId="2" applyNumberFormat="1" applyFont="1" applyBorder="1" applyAlignment="1">
      <alignment horizontal="left"/>
    </xf>
    <xf numFmtId="0" fontId="9" fillId="0" borderId="19" xfId="2" applyFont="1" applyBorder="1" applyAlignment="1">
      <alignment horizontal="left"/>
    </xf>
    <xf numFmtId="49" fontId="9" fillId="0" borderId="7" xfId="3" applyNumberFormat="1" applyFont="1" applyBorder="1" applyAlignment="1">
      <alignment horizontal="center"/>
    </xf>
    <xf numFmtId="49" fontId="9" fillId="0" borderId="8" xfId="3" applyNumberFormat="1" applyFont="1" applyBorder="1" applyAlignment="1">
      <alignment horizontal="center"/>
    </xf>
    <xf numFmtId="49" fontId="9" fillId="0" borderId="39" xfId="2" applyNumberFormat="1" applyFont="1" applyBorder="1" applyAlignment="1">
      <alignment horizontal="left"/>
    </xf>
    <xf numFmtId="3" fontId="9" fillId="0" borderId="8" xfId="0" applyNumberFormat="1" applyFont="1" applyBorder="1" applyAlignment="1">
      <alignment horizontal="right"/>
    </xf>
    <xf numFmtId="164" fontId="9" fillId="0" borderId="8" xfId="0" applyNumberFormat="1" applyFont="1" applyBorder="1" applyAlignment="1">
      <alignment horizontal="right"/>
    </xf>
    <xf numFmtId="3" fontId="9" fillId="0" borderId="8" xfId="3" applyNumberFormat="1" applyFont="1" applyBorder="1"/>
    <xf numFmtId="2" fontId="38" fillId="0" borderId="8" xfId="0" applyNumberFormat="1" applyFont="1" applyBorder="1" applyAlignment="1">
      <alignment horizontal="right"/>
    </xf>
    <xf numFmtId="2" fontId="38" fillId="0" borderId="8" xfId="0" applyNumberFormat="1" applyFont="1" applyBorder="1"/>
    <xf numFmtId="49" fontId="9" fillId="0" borderId="0" xfId="2" applyNumberFormat="1" applyFont="1" applyAlignment="1">
      <alignment horizontal="left"/>
    </xf>
    <xf numFmtId="0" fontId="9" fillId="0" borderId="0" xfId="2" applyFont="1" applyAlignment="1">
      <alignment horizontal="left"/>
    </xf>
    <xf numFmtId="3" fontId="9" fillId="0" borderId="0" xfId="0" applyNumberFormat="1" applyFont="1" applyAlignment="1">
      <alignment horizontal="right"/>
    </xf>
    <xf numFmtId="49" fontId="9" fillId="0" borderId="23" xfId="2" applyNumberFormat="1" applyFont="1" applyBorder="1" applyAlignment="1">
      <alignment horizontal="left"/>
    </xf>
    <xf numFmtId="3" fontId="9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49" fontId="9" fillId="0" borderId="29" xfId="3" applyNumberFormat="1" applyFont="1" applyBorder="1" applyAlignment="1">
      <alignment horizontal="center"/>
    </xf>
    <xf numFmtId="49" fontId="9" fillId="0" borderId="29" xfId="2" applyNumberFormat="1" applyFont="1" applyBorder="1" applyAlignment="1">
      <alignment horizontal="left"/>
    </xf>
    <xf numFmtId="0" fontId="9" fillId="0" borderId="29" xfId="2" applyFont="1" applyBorder="1" applyAlignment="1">
      <alignment horizontal="left"/>
    </xf>
    <xf numFmtId="3" fontId="9" fillId="0" borderId="29" xfId="0" applyNumberFormat="1" applyFont="1" applyBorder="1" applyAlignment="1">
      <alignment horizontal="right"/>
    </xf>
    <xf numFmtId="164" fontId="9" fillId="0" borderId="29" xfId="0" applyNumberFormat="1" applyFont="1" applyBorder="1" applyAlignment="1">
      <alignment horizontal="right"/>
    </xf>
    <xf numFmtId="3" fontId="9" fillId="0" borderId="29" xfId="3" applyNumberFormat="1" applyFont="1" applyBorder="1"/>
    <xf numFmtId="2" fontId="38" fillId="0" borderId="29" xfId="0" applyNumberFormat="1" applyFont="1" applyBorder="1"/>
    <xf numFmtId="49" fontId="9" fillId="0" borderId="32" xfId="3" applyNumberFormat="1" applyFont="1" applyBorder="1" applyAlignment="1">
      <alignment horizontal="center"/>
    </xf>
    <xf numFmtId="49" fontId="9" fillId="0" borderId="32" xfId="2" applyNumberFormat="1" applyFont="1" applyBorder="1" applyAlignment="1">
      <alignment horizontal="left"/>
    </xf>
    <xf numFmtId="0" fontId="9" fillId="0" borderId="32" xfId="2" applyFont="1" applyBorder="1" applyAlignment="1">
      <alignment horizontal="left"/>
    </xf>
    <xf numFmtId="3" fontId="9" fillId="0" borderId="32" xfId="0" applyNumberFormat="1" applyFont="1" applyBorder="1" applyAlignment="1">
      <alignment horizontal="right"/>
    </xf>
    <xf numFmtId="164" fontId="9" fillId="0" borderId="32" xfId="0" applyNumberFormat="1" applyFont="1" applyBorder="1" applyAlignment="1">
      <alignment horizontal="right"/>
    </xf>
    <xf numFmtId="3" fontId="9" fillId="0" borderId="32" xfId="3" applyNumberFormat="1" applyFont="1" applyBorder="1"/>
    <xf numFmtId="2" fontId="38" fillId="0" borderId="32" xfId="0" applyNumberFormat="1" applyFont="1" applyBorder="1"/>
    <xf numFmtId="49" fontId="17" fillId="0" borderId="2" xfId="0" applyNumberFormat="1" applyFont="1" applyBorder="1" applyAlignment="1">
      <alignment horizontal="center"/>
    </xf>
    <xf numFmtId="3" fontId="44" fillId="0" borderId="27" xfId="0" applyNumberFormat="1" applyFont="1" applyBorder="1"/>
    <xf numFmtId="164" fontId="44" fillId="0" borderId="27" xfId="0" applyNumberFormat="1" applyFont="1" applyBorder="1"/>
    <xf numFmtId="2" fontId="35" fillId="0" borderId="0" xfId="0" applyNumberFormat="1" applyFont="1"/>
    <xf numFmtId="3" fontId="2" fillId="0" borderId="27" xfId="0" applyNumberFormat="1" applyFont="1" applyBorder="1"/>
    <xf numFmtId="164" fontId="2" fillId="0" borderId="27" xfId="0" applyNumberFormat="1" applyFont="1" applyBorder="1"/>
    <xf numFmtId="4" fontId="13" fillId="0" borderId="38" xfId="2" applyNumberFormat="1" applyFont="1" applyBorder="1"/>
    <xf numFmtId="0" fontId="28" fillId="0" borderId="0" xfId="0" applyFont="1" applyAlignment="1">
      <alignment horizontal="right" wrapText="1"/>
    </xf>
    <xf numFmtId="3" fontId="7" fillId="0" borderId="37" xfId="0" applyNumberFormat="1" applyFont="1" applyBorder="1"/>
    <xf numFmtId="4" fontId="7" fillId="0" borderId="38" xfId="2" applyNumberFormat="1" applyFont="1" applyBorder="1"/>
    <xf numFmtId="4" fontId="7" fillId="0" borderId="49" xfId="0" applyNumberFormat="1" applyFont="1" applyBorder="1"/>
    <xf numFmtId="0" fontId="17" fillId="0" borderId="16" xfId="0" applyFont="1" applyBorder="1" applyAlignment="1">
      <alignment horizontal="center"/>
    </xf>
    <xf numFmtId="14" fontId="17" fillId="0" borderId="16" xfId="0" applyNumberFormat="1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4" fontId="13" fillId="0" borderId="38" xfId="2" applyNumberFormat="1" applyFont="1" applyBorder="1" applyAlignment="1">
      <alignment horizontal="right" vertical="top"/>
    </xf>
    <xf numFmtId="0" fontId="39" fillId="0" borderId="0" xfId="0" applyFont="1"/>
    <xf numFmtId="164" fontId="39" fillId="0" borderId="0" xfId="0" applyNumberFormat="1" applyFont="1"/>
    <xf numFmtId="4" fontId="39" fillId="0" borderId="0" xfId="0" applyNumberFormat="1" applyFont="1"/>
    <xf numFmtId="3" fontId="2" fillId="0" borderId="38" xfId="0" applyNumberFormat="1" applyFont="1" applyBorder="1"/>
    <xf numFmtId="0" fontId="21" fillId="0" borderId="14" xfId="0" applyFont="1" applyBorder="1" applyAlignment="1">
      <alignment horizontal="right"/>
    </xf>
    <xf numFmtId="0" fontId="0" fillId="0" borderId="14" xfId="0" applyBorder="1" applyAlignment="1">
      <alignment horizontal="right"/>
    </xf>
    <xf numFmtId="3" fontId="1" fillId="0" borderId="14" xfId="3" applyNumberFormat="1" applyBorder="1"/>
    <xf numFmtId="0" fontId="47" fillId="0" borderId="27" xfId="0" applyFont="1" applyBorder="1" applyAlignment="1">
      <alignment horizontal="right"/>
    </xf>
    <xf numFmtId="3" fontId="9" fillId="0" borderId="0" xfId="2" applyNumberFormat="1" applyFont="1"/>
    <xf numFmtId="164" fontId="9" fillId="0" borderId="0" xfId="2" applyNumberFormat="1" applyFont="1"/>
    <xf numFmtId="3" fontId="17" fillId="0" borderId="0" xfId="2" applyNumberFormat="1" applyFont="1"/>
    <xf numFmtId="4" fontId="17" fillId="0" borderId="60" xfId="0" applyNumberFormat="1" applyFont="1" applyBorder="1"/>
    <xf numFmtId="3" fontId="17" fillId="0" borderId="20" xfId="2" applyNumberFormat="1" applyFont="1" applyBorder="1"/>
    <xf numFmtId="164" fontId="17" fillId="0" borderId="20" xfId="2" applyNumberFormat="1" applyFont="1" applyBorder="1"/>
    <xf numFmtId="3" fontId="9" fillId="0" borderId="39" xfId="2" applyNumberFormat="1" applyFont="1" applyBorder="1"/>
    <xf numFmtId="164" fontId="9" fillId="0" borderId="39" xfId="2" applyNumberFormat="1" applyFont="1" applyBorder="1"/>
    <xf numFmtId="4" fontId="1" fillId="0" borderId="35" xfId="0" applyNumberFormat="1" applyFont="1" applyBorder="1"/>
    <xf numFmtId="3" fontId="4" fillId="0" borderId="37" xfId="2" applyNumberFormat="1" applyFont="1" applyBorder="1"/>
    <xf numFmtId="164" fontId="4" fillId="0" borderId="37" xfId="2" applyNumberFormat="1" applyFont="1" applyBorder="1"/>
    <xf numFmtId="0" fontId="28" fillId="0" borderId="0" xfId="0" applyFont="1" applyAlignment="1">
      <alignment horizontal="center" wrapText="1"/>
    </xf>
    <xf numFmtId="10" fontId="28" fillId="0" borderId="0" xfId="0" applyNumberFormat="1" applyFont="1" applyAlignment="1">
      <alignment horizontal="center" wrapText="1"/>
    </xf>
    <xf numFmtId="49" fontId="9" fillId="0" borderId="13" xfId="2" applyNumberFormat="1" applyFont="1" applyBorder="1" applyAlignment="1">
      <alignment horizontal="right"/>
    </xf>
    <xf numFmtId="3" fontId="13" fillId="0" borderId="27" xfId="3" applyNumberFormat="1" applyFont="1" applyBorder="1" applyAlignment="1">
      <alignment wrapText="1"/>
    </xf>
    <xf numFmtId="164" fontId="13" fillId="0" borderId="27" xfId="3" applyNumberFormat="1" applyFont="1" applyBorder="1" applyAlignment="1">
      <alignment wrapText="1"/>
    </xf>
    <xf numFmtId="164" fontId="26" fillId="0" borderId="0" xfId="0" applyNumberFormat="1" applyFont="1"/>
    <xf numFmtId="4" fontId="17" fillId="0" borderId="21" xfId="2" applyNumberFormat="1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4" fontId="17" fillId="0" borderId="8" xfId="2" applyNumberFormat="1" applyFont="1" applyBorder="1"/>
    <xf numFmtId="4" fontId="17" fillId="0" borderId="55" xfId="0" applyNumberFormat="1" applyFont="1" applyBorder="1"/>
    <xf numFmtId="4" fontId="13" fillId="0" borderId="27" xfId="3" applyNumberFormat="1" applyFont="1" applyBorder="1" applyAlignment="1">
      <alignment vertical="top" wrapText="1"/>
    </xf>
    <xf numFmtId="4" fontId="13" fillId="0" borderId="27" xfId="2" applyNumberFormat="1" applyFont="1" applyBorder="1"/>
    <xf numFmtId="4" fontId="17" fillId="0" borderId="0" xfId="2" applyNumberFormat="1" applyFont="1"/>
    <xf numFmtId="4" fontId="17" fillId="0" borderId="0" xfId="0" applyNumberFormat="1" applyFont="1"/>
    <xf numFmtId="4" fontId="13" fillId="0" borderId="49" xfId="3" applyNumberFormat="1" applyFont="1" applyBorder="1" applyAlignment="1">
      <alignment vertical="top" wrapText="1"/>
    </xf>
    <xf numFmtId="3" fontId="9" fillId="0" borderId="14" xfId="0" applyNumberFormat="1" applyFont="1" applyBorder="1"/>
    <xf numFmtId="3" fontId="4" fillId="0" borderId="27" xfId="0" applyNumberFormat="1" applyFont="1" applyBorder="1"/>
    <xf numFmtId="3" fontId="13" fillId="0" borderId="8" xfId="3" applyNumberFormat="1" applyFont="1" applyBorder="1" applyAlignment="1">
      <alignment wrapText="1"/>
    </xf>
    <xf numFmtId="164" fontId="13" fillId="0" borderId="8" xfId="3" applyNumberFormat="1" applyFont="1" applyBorder="1" applyAlignment="1">
      <alignment wrapText="1"/>
    </xf>
    <xf numFmtId="4" fontId="13" fillId="0" borderId="64" xfId="2" applyNumberFormat="1" applyFont="1" applyBorder="1"/>
    <xf numFmtId="4" fontId="13" fillId="0" borderId="55" xfId="0" applyNumberFormat="1" applyFont="1" applyBorder="1"/>
    <xf numFmtId="0" fontId="9" fillId="0" borderId="34" xfId="2" applyFont="1" applyBorder="1"/>
    <xf numFmtId="3" fontId="9" fillId="0" borderId="34" xfId="3" applyNumberFormat="1" applyFont="1" applyBorder="1"/>
    <xf numFmtId="164" fontId="9" fillId="0" borderId="34" xfId="3" applyNumberFormat="1" applyFont="1" applyBorder="1"/>
    <xf numFmtId="4" fontId="9" fillId="0" borderId="53" xfId="2" applyNumberFormat="1" applyFont="1" applyBorder="1"/>
    <xf numFmtId="4" fontId="9" fillId="0" borderId="57" xfId="0" applyNumberFormat="1" applyFont="1" applyBorder="1"/>
    <xf numFmtId="49" fontId="9" fillId="0" borderId="40" xfId="2" applyNumberFormat="1" applyFont="1" applyBorder="1" applyAlignment="1">
      <alignment horizontal="left" vertical="center" wrapText="1"/>
    </xf>
    <xf numFmtId="49" fontId="9" fillId="0" borderId="41" xfId="2" applyNumberFormat="1" applyFont="1" applyBorder="1" applyAlignment="1">
      <alignment horizontal="right"/>
    </xf>
    <xf numFmtId="49" fontId="48" fillId="0" borderId="71" xfId="3" applyNumberFormat="1" applyFont="1" applyBorder="1" applyAlignment="1">
      <alignment horizontal="center"/>
    </xf>
    <xf numFmtId="0" fontId="9" fillId="0" borderId="20" xfId="2" applyFont="1" applyBorder="1" applyAlignment="1">
      <alignment horizontal="left"/>
    </xf>
    <xf numFmtId="0" fontId="48" fillId="0" borderId="43" xfId="0" applyFont="1" applyBorder="1" applyAlignment="1">
      <alignment horizontal="left" wrapText="1"/>
    </xf>
    <xf numFmtId="49" fontId="9" fillId="0" borderId="44" xfId="2" applyNumberFormat="1" applyFont="1" applyBorder="1" applyAlignment="1">
      <alignment horizontal="center"/>
    </xf>
    <xf numFmtId="0" fontId="35" fillId="0" borderId="31" xfId="0" applyFont="1" applyBorder="1"/>
    <xf numFmtId="0" fontId="35" fillId="0" borderId="32" xfId="0" applyFont="1" applyBorder="1"/>
    <xf numFmtId="164" fontId="35" fillId="0" borderId="32" xfId="0" applyNumberFormat="1" applyFont="1" applyBorder="1"/>
    <xf numFmtId="4" fontId="35" fillId="0" borderId="32" xfId="0" applyNumberFormat="1" applyFont="1" applyBorder="1"/>
    <xf numFmtId="4" fontId="35" fillId="0" borderId="61" xfId="0" applyNumberFormat="1" applyFont="1" applyBorder="1"/>
    <xf numFmtId="49" fontId="48" fillId="0" borderId="40" xfId="2" applyNumberFormat="1" applyFont="1" applyBorder="1" applyAlignment="1">
      <alignment horizontal="center"/>
    </xf>
    <xf numFmtId="49" fontId="7" fillId="0" borderId="72" xfId="0" applyNumberFormat="1" applyFont="1" applyBorder="1" applyAlignment="1">
      <alignment horizontal="center"/>
    </xf>
    <xf numFmtId="0" fontId="17" fillId="0" borderId="73" xfId="2" applyFont="1" applyBorder="1" applyAlignment="1">
      <alignment horizontal="left"/>
    </xf>
    <xf numFmtId="164" fontId="7" fillId="0" borderId="74" xfId="0" applyNumberFormat="1" applyFont="1" applyBorder="1"/>
    <xf numFmtId="4" fontId="17" fillId="0" borderId="75" xfId="0" applyNumberFormat="1" applyFont="1" applyBorder="1"/>
    <xf numFmtId="164" fontId="51" fillId="0" borderId="0" xfId="2" applyNumberFormat="1" applyFont="1"/>
    <xf numFmtId="3" fontId="7" fillId="0" borderId="50" xfId="2" applyNumberFormat="1" applyFont="1" applyBorder="1"/>
    <xf numFmtId="4" fontId="1" fillId="0" borderId="21" xfId="2" applyNumberFormat="1" applyBorder="1"/>
    <xf numFmtId="4" fontId="1" fillId="0" borderId="50" xfId="2" applyNumberFormat="1" applyBorder="1"/>
    <xf numFmtId="3" fontId="1" fillId="0" borderId="21" xfId="2" applyNumberFormat="1" applyBorder="1" applyAlignment="1">
      <alignment horizontal="right"/>
    </xf>
    <xf numFmtId="3" fontId="1" fillId="0" borderId="50" xfId="2" applyNumberFormat="1" applyBorder="1" applyAlignment="1">
      <alignment horizontal="right"/>
    </xf>
    <xf numFmtId="3" fontId="1" fillId="0" borderId="50" xfId="2" applyNumberFormat="1" applyBorder="1"/>
    <xf numFmtId="4" fontId="1" fillId="0" borderId="14" xfId="2" applyNumberFormat="1" applyBorder="1"/>
    <xf numFmtId="4" fontId="1" fillId="0" borderId="35" xfId="2" applyNumberFormat="1" applyBorder="1"/>
    <xf numFmtId="3" fontId="7" fillId="0" borderId="74" xfId="0" applyNumberFormat="1" applyFont="1" applyBorder="1"/>
    <xf numFmtId="0" fontId="26" fillId="0" borderId="0" xfId="0" applyFont="1" applyAlignment="1">
      <alignment horizontal="center" wrapText="1"/>
    </xf>
    <xf numFmtId="10" fontId="26" fillId="0" borderId="0" xfId="2" applyNumberFormat="1" applyFont="1" applyAlignment="1">
      <alignment horizontal="center" wrapText="1"/>
    </xf>
    <xf numFmtId="4" fontId="2" fillId="0" borderId="0" xfId="2" applyNumberFormat="1" applyFont="1"/>
    <xf numFmtId="49" fontId="18" fillId="0" borderId="4" xfId="0" applyNumberFormat="1" applyFont="1" applyBorder="1" applyAlignment="1">
      <alignment horizontal="center"/>
    </xf>
    <xf numFmtId="0" fontId="18" fillId="0" borderId="10" xfId="0" applyFont="1" applyBorder="1"/>
    <xf numFmtId="0" fontId="9" fillId="0" borderId="40" xfId="2" applyFont="1" applyBorder="1" applyAlignment="1">
      <alignment horizontal="left"/>
    </xf>
    <xf numFmtId="49" fontId="3" fillId="0" borderId="24" xfId="0" applyNumberFormat="1" applyFont="1" applyBorder="1" applyAlignment="1">
      <alignment horizontal="center"/>
    </xf>
    <xf numFmtId="14" fontId="17" fillId="0" borderId="2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29" fillId="0" borderId="4" xfId="0" applyNumberFormat="1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29" fillId="0" borderId="18" xfId="0" applyFont="1" applyBorder="1"/>
    <xf numFmtId="0" fontId="18" fillId="0" borderId="24" xfId="0" applyFont="1" applyBorder="1" applyAlignment="1">
      <alignment horizontal="left"/>
    </xf>
    <xf numFmtId="164" fontId="1" fillId="0" borderId="5" xfId="0" applyNumberFormat="1" applyFont="1" applyBorder="1"/>
    <xf numFmtId="3" fontId="9" fillId="0" borderId="5" xfId="0" applyNumberFormat="1" applyFont="1" applyBorder="1"/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4" fontId="1" fillId="0" borderId="0" xfId="0" applyNumberFormat="1" applyFont="1"/>
    <xf numFmtId="3" fontId="9" fillId="0" borderId="0" xfId="0" applyNumberFormat="1" applyFont="1"/>
    <xf numFmtId="0" fontId="6" fillId="0" borderId="12" xfId="0" applyFont="1" applyBorder="1" applyAlignment="1">
      <alignment horizontal="center"/>
    </xf>
    <xf numFmtId="49" fontId="18" fillId="0" borderId="40" xfId="0" applyNumberFormat="1" applyFont="1" applyBorder="1" applyAlignment="1">
      <alignment horizontal="left"/>
    </xf>
    <xf numFmtId="0" fontId="18" fillId="0" borderId="40" xfId="0" applyFont="1" applyBorder="1"/>
    <xf numFmtId="4" fontId="9" fillId="0" borderId="40" xfId="2" applyNumberFormat="1" applyFont="1" applyBorder="1"/>
    <xf numFmtId="3" fontId="17" fillId="0" borderId="5" xfId="0" applyNumberFormat="1" applyFont="1" applyBorder="1" applyAlignment="1">
      <alignment horizontal="right"/>
    </xf>
    <xf numFmtId="164" fontId="4" fillId="0" borderId="27" xfId="0" applyNumberFormat="1" applyFont="1" applyBorder="1"/>
    <xf numFmtId="164" fontId="7" fillId="0" borderId="16" xfId="0" applyNumberFormat="1" applyFont="1" applyBorder="1"/>
    <xf numFmtId="164" fontId="17" fillId="0" borderId="5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164" fontId="1" fillId="0" borderId="16" xfId="0" applyNumberFormat="1" applyFont="1" applyBorder="1"/>
    <xf numFmtId="3" fontId="52" fillId="0" borderId="0" xfId="2" applyNumberFormat="1" applyFont="1"/>
    <xf numFmtId="3" fontId="53" fillId="0" borderId="0" xfId="3" applyNumberFormat="1" applyFont="1" applyAlignment="1">
      <alignment wrapText="1"/>
    </xf>
    <xf numFmtId="3" fontId="53" fillId="0" borderId="0" xfId="3" applyNumberFormat="1" applyFont="1" applyAlignment="1">
      <alignment vertical="top" wrapText="1"/>
    </xf>
    <xf numFmtId="3" fontId="52" fillId="0" borderId="0" xfId="0" applyNumberFormat="1" applyFont="1"/>
    <xf numFmtId="3" fontId="13" fillId="0" borderId="0" xfId="3" applyNumberFormat="1" applyFont="1" applyAlignment="1">
      <alignment vertical="top" wrapText="1"/>
    </xf>
    <xf numFmtId="3" fontId="45" fillId="0" borderId="0" xfId="0" applyNumberFormat="1" applyFont="1"/>
    <xf numFmtId="2" fontId="41" fillId="0" borderId="21" xfId="0" applyNumberFormat="1" applyFont="1" applyBorder="1" applyAlignment="1">
      <alignment horizontal="right"/>
    </xf>
    <xf numFmtId="2" fontId="41" fillId="0" borderId="21" xfId="0" applyNumberFormat="1" applyFont="1" applyBorder="1"/>
    <xf numFmtId="2" fontId="41" fillId="0" borderId="50" xfId="0" applyNumberFormat="1" applyFont="1" applyBorder="1"/>
    <xf numFmtId="2" fontId="38" fillId="0" borderId="14" xfId="0" applyNumberFormat="1" applyFont="1" applyBorder="1" applyAlignment="1">
      <alignment horizontal="right"/>
    </xf>
    <xf numFmtId="3" fontId="24" fillId="0" borderId="21" xfId="0" applyNumberFormat="1" applyFont="1" applyBorder="1"/>
    <xf numFmtId="0" fontId="24" fillId="0" borderId="14" xfId="0" applyFont="1" applyBorder="1"/>
    <xf numFmtId="3" fontId="1" fillId="0" borderId="16" xfId="2" applyNumberFormat="1" applyBorder="1"/>
    <xf numFmtId="164" fontId="1" fillId="0" borderId="16" xfId="2" applyNumberFormat="1" applyBorder="1"/>
    <xf numFmtId="3" fontId="24" fillId="0" borderId="16" xfId="0" applyNumberFormat="1" applyFont="1" applyBorder="1"/>
    <xf numFmtId="0" fontId="14" fillId="0" borderId="34" xfId="0" applyFont="1" applyBorder="1"/>
    <xf numFmtId="0" fontId="0" fillId="0" borderId="10" xfId="0" applyBorder="1"/>
    <xf numFmtId="164" fontId="17" fillId="0" borderId="14" xfId="3" applyNumberFormat="1" applyFont="1" applyBorder="1"/>
    <xf numFmtId="4" fontId="7" fillId="0" borderId="22" xfId="2" applyNumberFormat="1" applyFont="1" applyBorder="1" applyAlignment="1">
      <alignment horizontal="right"/>
    </xf>
    <xf numFmtId="4" fontId="1" fillId="0" borderId="21" xfId="2" applyNumberFormat="1" applyBorder="1" applyAlignment="1">
      <alignment horizontal="right"/>
    </xf>
    <xf numFmtId="4" fontId="7" fillId="0" borderId="17" xfId="0" applyNumberFormat="1" applyFont="1" applyBorder="1"/>
    <xf numFmtId="4" fontId="7" fillId="0" borderId="42" xfId="0" applyNumberFormat="1" applyFont="1" applyBorder="1"/>
    <xf numFmtId="4" fontId="1" fillId="0" borderId="22" xfId="2" applyNumberFormat="1" applyBorder="1" applyAlignment="1">
      <alignment horizontal="right"/>
    </xf>
    <xf numFmtId="4" fontId="1" fillId="0" borderId="22" xfId="2" applyNumberFormat="1" applyBorder="1"/>
    <xf numFmtId="0" fontId="1" fillId="0" borderId="20" xfId="0" applyFont="1" applyBorder="1" applyAlignment="1">
      <alignment horizontal="right"/>
    </xf>
    <xf numFmtId="3" fontId="1" fillId="0" borderId="39" xfId="0" applyNumberFormat="1" applyFont="1" applyBorder="1"/>
    <xf numFmtId="4" fontId="1" fillId="0" borderId="64" xfId="2" applyNumberFormat="1" applyBorder="1" applyAlignment="1">
      <alignment horizontal="right"/>
    </xf>
    <xf numFmtId="4" fontId="1" fillId="0" borderId="55" xfId="0" applyNumberFormat="1" applyFont="1" applyBorder="1"/>
    <xf numFmtId="4" fontId="17" fillId="0" borderId="74" xfId="2" applyNumberFormat="1" applyFont="1" applyBorder="1" applyAlignment="1">
      <alignment horizontal="right"/>
    </xf>
    <xf numFmtId="43" fontId="0" fillId="0" borderId="0" xfId="4" applyFont="1" applyFill="1" applyBorder="1"/>
    <xf numFmtId="49" fontId="9" fillId="0" borderId="0" xfId="2" applyNumberFormat="1" applyFont="1" applyAlignment="1">
      <alignment horizontal="right"/>
    </xf>
    <xf numFmtId="0" fontId="17" fillId="0" borderId="19" xfId="2" applyFont="1" applyBorder="1" applyAlignment="1">
      <alignment horizontal="left"/>
    </xf>
    <xf numFmtId="0" fontId="27" fillId="0" borderId="20" xfId="2" applyFont="1" applyBorder="1"/>
    <xf numFmtId="4" fontId="37" fillId="0" borderId="21" xfId="0" applyNumberFormat="1" applyFont="1" applyBorder="1" applyAlignment="1">
      <alignment horizontal="right"/>
    </xf>
    <xf numFmtId="0" fontId="9" fillId="0" borderId="16" xfId="2" applyFont="1" applyBorder="1" applyAlignment="1">
      <alignment horizontal="left"/>
    </xf>
    <xf numFmtId="0" fontId="39" fillId="0" borderId="21" xfId="0" applyFont="1" applyBorder="1" applyAlignment="1">
      <alignment horizontal="left"/>
    </xf>
    <xf numFmtId="2" fontId="38" fillId="0" borderId="16" xfId="0" applyNumberFormat="1" applyFont="1" applyBorder="1"/>
    <xf numFmtId="2" fontId="38" fillId="0" borderId="42" xfId="0" applyNumberFormat="1" applyFont="1" applyBorder="1"/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31" xfId="1" applyFont="1" applyBorder="1" applyAlignment="1">
      <alignment horizontal="center"/>
    </xf>
    <xf numFmtId="0" fontId="4" fillId="0" borderId="9" xfId="1" applyFont="1" applyBorder="1" applyAlignment="1">
      <alignment horizontal="left"/>
    </xf>
    <xf numFmtId="0" fontId="3" fillId="0" borderId="16" xfId="1" applyFont="1" applyBorder="1"/>
    <xf numFmtId="49" fontId="6" fillId="0" borderId="12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0" fontId="6" fillId="0" borderId="21" xfId="2" applyFont="1" applyBorder="1"/>
    <xf numFmtId="3" fontId="6" fillId="0" borderId="21" xfId="2" applyNumberFormat="1" applyFont="1" applyBorder="1"/>
    <xf numFmtId="164" fontId="6" fillId="0" borderId="21" xfId="2" applyNumberFormat="1" applyFont="1" applyBorder="1"/>
    <xf numFmtId="2" fontId="46" fillId="0" borderId="21" xfId="0" applyNumberFormat="1" applyFont="1" applyBorder="1"/>
    <xf numFmtId="2" fontId="46" fillId="0" borderId="50" xfId="0" applyNumberFormat="1" applyFont="1" applyBorder="1"/>
    <xf numFmtId="0" fontId="3" fillId="0" borderId="21" xfId="2" applyFont="1" applyBorder="1" applyAlignment="1">
      <alignment horizontal="center"/>
    </xf>
    <xf numFmtId="0" fontId="3" fillId="0" borderId="21" xfId="2" applyFont="1" applyBorder="1" applyAlignment="1">
      <alignment horizontal="left"/>
    </xf>
    <xf numFmtId="2" fontId="24" fillId="0" borderId="21" xfId="0" applyNumberFormat="1" applyFont="1" applyBorder="1"/>
    <xf numFmtId="2" fontId="24" fillId="0" borderId="50" xfId="0" applyNumberFormat="1" applyFont="1" applyBorder="1"/>
    <xf numFmtId="49" fontId="3" fillId="0" borderId="21" xfId="2" applyNumberFormat="1" applyFont="1" applyBorder="1"/>
    <xf numFmtId="49" fontId="34" fillId="0" borderId="21" xfId="2" applyNumberFormat="1" applyFont="1" applyBorder="1" applyAlignment="1">
      <alignment horizontal="center"/>
    </xf>
    <xf numFmtId="0" fontId="3" fillId="0" borderId="21" xfId="2" applyFont="1" applyBorder="1" applyAlignment="1">
      <alignment horizontal="left" vertical="center"/>
    </xf>
    <xf numFmtId="0" fontId="3" fillId="0" borderId="21" xfId="2" applyFont="1" applyBorder="1" applyAlignment="1">
      <alignment horizontal="left" wrapText="1"/>
    </xf>
    <xf numFmtId="2" fontId="24" fillId="0" borderId="21" xfId="0" applyNumberFormat="1" applyFont="1" applyBorder="1" applyAlignment="1">
      <alignment horizontal="right"/>
    </xf>
    <xf numFmtId="0" fontId="6" fillId="0" borderId="21" xfId="2" applyFont="1" applyBorder="1" applyAlignment="1">
      <alignment horizontal="left"/>
    </xf>
    <xf numFmtId="3" fontId="1" fillId="0" borderId="14" xfId="0" applyNumberFormat="1" applyFont="1" applyBorder="1" applyAlignment="1">
      <alignment horizontal="right"/>
    </xf>
    <xf numFmtId="2" fontId="47" fillId="0" borderId="37" xfId="0" applyNumberFormat="1" applyFont="1" applyBorder="1"/>
    <xf numFmtId="2" fontId="47" fillId="0" borderId="49" xfId="0" applyNumberFormat="1" applyFont="1" applyBorder="1"/>
    <xf numFmtId="0" fontId="2" fillId="0" borderId="0" xfId="2" applyFont="1"/>
    <xf numFmtId="3" fontId="50" fillId="0" borderId="0" xfId="2" applyNumberFormat="1" applyFont="1"/>
    <xf numFmtId="164" fontId="50" fillId="0" borderId="0" xfId="2" applyNumberFormat="1" applyFont="1"/>
    <xf numFmtId="2" fontId="47" fillId="0" borderId="0" xfId="0" applyNumberFormat="1" applyFont="1"/>
    <xf numFmtId="0" fontId="9" fillId="0" borderId="16" xfId="0" applyFont="1" applyBorder="1" applyAlignment="1">
      <alignment horizontal="center"/>
    </xf>
    <xf numFmtId="14" fontId="9" fillId="0" borderId="16" xfId="0" applyNumberFormat="1" applyFont="1" applyBorder="1" applyAlignment="1">
      <alignment horizontal="center"/>
    </xf>
    <xf numFmtId="3" fontId="1" fillId="0" borderId="22" xfId="2" applyNumberFormat="1" applyBorder="1"/>
    <xf numFmtId="164" fontId="1" fillId="0" borderId="67" xfId="2" applyNumberFormat="1" applyBorder="1" applyAlignment="1">
      <alignment horizontal="right"/>
    </xf>
    <xf numFmtId="3" fontId="1" fillId="0" borderId="20" xfId="3" applyNumberFormat="1" applyBorder="1"/>
    <xf numFmtId="0" fontId="1" fillId="0" borderId="21" xfId="2" applyBorder="1" applyAlignment="1">
      <alignment horizontal="left" wrapText="1"/>
    </xf>
    <xf numFmtId="164" fontId="1" fillId="0" borderId="5" xfId="2" applyNumberFormat="1" applyBorder="1" applyAlignment="1">
      <alignment horizontal="right"/>
    </xf>
    <xf numFmtId="0" fontId="24" fillId="0" borderId="0" xfId="0" applyFont="1"/>
    <xf numFmtId="164" fontId="24" fillId="0" borderId="0" xfId="0" applyNumberFormat="1" applyFont="1"/>
    <xf numFmtId="4" fontId="24" fillId="0" borderId="0" xfId="0" applyNumberFormat="1" applyFont="1"/>
    <xf numFmtId="0" fontId="2" fillId="0" borderId="27" xfId="3" applyFont="1" applyBorder="1" applyAlignment="1">
      <alignment horizontal="right" wrapText="1"/>
    </xf>
    <xf numFmtId="3" fontId="2" fillId="0" borderId="27" xfId="3" applyNumberFormat="1" applyFont="1" applyBorder="1" applyAlignment="1">
      <alignment horizontal="right" vertical="center" wrapText="1"/>
    </xf>
    <xf numFmtId="164" fontId="2" fillId="0" borderId="27" xfId="3" applyNumberFormat="1" applyFont="1" applyBorder="1" applyAlignment="1">
      <alignment horizontal="right" vertical="center" wrapText="1"/>
    </xf>
    <xf numFmtId="4" fontId="2" fillId="0" borderId="38" xfId="2" applyNumberFormat="1" applyFont="1" applyBorder="1" applyAlignment="1">
      <alignment horizontal="right" vertical="center"/>
    </xf>
    <xf numFmtId="4" fontId="2" fillId="0" borderId="49" xfId="0" applyNumberFormat="1" applyFont="1" applyBorder="1" applyAlignment="1">
      <alignment horizontal="right" vertical="center"/>
    </xf>
    <xf numFmtId="49" fontId="9" fillId="0" borderId="47" xfId="3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/>
    </xf>
    <xf numFmtId="0" fontId="9" fillId="0" borderId="40" xfId="3" applyFont="1" applyBorder="1" applyAlignment="1">
      <alignment wrapText="1"/>
    </xf>
    <xf numFmtId="4" fontId="9" fillId="0" borderId="40" xfId="2" applyNumberFormat="1" applyFont="1" applyBorder="1" applyAlignment="1">
      <alignment horizontal="right"/>
    </xf>
    <xf numFmtId="4" fontId="9" fillId="0" borderId="41" xfId="2" applyNumberFormat="1" applyFont="1" applyBorder="1" applyAlignment="1">
      <alignment horizontal="right"/>
    </xf>
    <xf numFmtId="0" fontId="17" fillId="0" borderId="22" xfId="2" applyFont="1" applyBorder="1" applyAlignment="1">
      <alignment horizontal="left"/>
    </xf>
    <xf numFmtId="0" fontId="17" fillId="0" borderId="19" xfId="2" applyFont="1" applyBorder="1" applyAlignment="1">
      <alignment horizontal="left"/>
    </xf>
    <xf numFmtId="0" fontId="17" fillId="0" borderId="20" xfId="2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5" xfId="2" applyFont="1" applyBorder="1"/>
    <xf numFmtId="0" fontId="4" fillId="0" borderId="36" xfId="2" applyFont="1" applyBorder="1"/>
    <xf numFmtId="0" fontId="4" fillId="0" borderId="37" xfId="2" applyFont="1" applyBorder="1"/>
    <xf numFmtId="0" fontId="17" fillId="0" borderId="56" xfId="2" applyFont="1" applyBorder="1" applyAlignment="1">
      <alignment horizontal="left"/>
    </xf>
    <xf numFmtId="49" fontId="2" fillId="0" borderId="25" xfId="2" applyNumberFormat="1" applyFont="1" applyBorder="1" applyAlignment="1">
      <alignment horizontal="left"/>
    </xf>
    <xf numFmtId="0" fontId="2" fillId="0" borderId="36" xfId="2" applyFont="1" applyBorder="1"/>
    <xf numFmtId="0" fontId="2" fillId="0" borderId="37" xfId="2" applyFont="1" applyBorder="1"/>
    <xf numFmtId="49" fontId="7" fillId="0" borderId="15" xfId="2" applyNumberFormat="1" applyFont="1" applyBorder="1" applyAlignment="1">
      <alignment horizontal="center"/>
    </xf>
    <xf numFmtId="0" fontId="0" fillId="0" borderId="9" xfId="0" applyBorder="1"/>
    <xf numFmtId="2" fontId="37" fillId="0" borderId="14" xfId="0" applyNumberFormat="1" applyFont="1" applyBorder="1" applyAlignment="1">
      <alignment horizontal="right"/>
    </xf>
    <xf numFmtId="2" fontId="37" fillId="0" borderId="16" xfId="0" applyNumberFormat="1" applyFont="1" applyBorder="1" applyAlignment="1">
      <alignment horizontal="right"/>
    </xf>
    <xf numFmtId="2" fontId="37" fillId="0" borderId="35" xfId="0" applyNumberFormat="1" applyFont="1" applyBorder="1" applyAlignment="1">
      <alignment horizontal="right"/>
    </xf>
    <xf numFmtId="2" fontId="37" fillId="0" borderId="42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49" fontId="17" fillId="0" borderId="22" xfId="2" applyNumberFormat="1" applyFont="1" applyBorder="1" applyAlignment="1" applyProtection="1">
      <alignment horizontal="left"/>
      <protection locked="0"/>
    </xf>
    <xf numFmtId="49" fontId="17" fillId="0" borderId="20" xfId="2" applyNumberFormat="1" applyFont="1" applyBorder="1" applyAlignment="1" applyProtection="1">
      <alignment horizontal="left"/>
      <protection locked="0"/>
    </xf>
    <xf numFmtId="0" fontId="2" fillId="0" borderId="25" xfId="0" applyFont="1" applyBorder="1"/>
    <xf numFmtId="0" fontId="2" fillId="0" borderId="36" xfId="0" applyFont="1" applyBorder="1"/>
    <xf numFmtId="0" fontId="2" fillId="0" borderId="37" xfId="0" applyFont="1" applyBorder="1"/>
    <xf numFmtId="49" fontId="7" fillId="0" borderId="11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49" fontId="2" fillId="0" borderId="36" xfId="2" applyNumberFormat="1" applyFont="1" applyBorder="1" applyAlignment="1">
      <alignment horizontal="left"/>
    </xf>
    <xf numFmtId="49" fontId="2" fillId="0" borderId="37" xfId="2" applyNumberFormat="1" applyFont="1" applyBorder="1" applyAlignment="1">
      <alignment horizontal="left"/>
    </xf>
    <xf numFmtId="49" fontId="3" fillId="0" borderId="15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0" fontId="2" fillId="0" borderId="26" xfId="2" applyFont="1" applyBorder="1"/>
    <xf numFmtId="0" fontId="2" fillId="0" borderId="27" xfId="2" applyFont="1" applyBorder="1"/>
    <xf numFmtId="0" fontId="3" fillId="0" borderId="14" xfId="2" applyFont="1" applyBorder="1" applyAlignment="1">
      <alignment horizontal="left" wrapText="1"/>
    </xf>
    <xf numFmtId="0" fontId="3" fillId="0" borderId="16" xfId="2" applyFont="1" applyBorder="1" applyAlignment="1">
      <alignment horizontal="left" wrapText="1"/>
    </xf>
    <xf numFmtId="0" fontId="3" fillId="0" borderId="14" xfId="2" applyFont="1" applyBorder="1" applyAlignment="1">
      <alignment horizontal="left"/>
    </xf>
    <xf numFmtId="0" fontId="3" fillId="0" borderId="16" xfId="2" applyFont="1" applyBorder="1" applyAlignment="1">
      <alignment horizontal="left"/>
    </xf>
    <xf numFmtId="2" fontId="24" fillId="0" borderId="35" xfId="0" applyNumberFormat="1" applyFont="1" applyBorder="1" applyAlignment="1">
      <alignment horizontal="right"/>
    </xf>
    <xf numFmtId="2" fontId="24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0" borderId="14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center"/>
    </xf>
    <xf numFmtId="164" fontId="1" fillId="0" borderId="14" xfId="2" applyNumberForma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2" fontId="24" fillId="0" borderId="14" xfId="0" applyNumberFormat="1" applyFont="1" applyBorder="1" applyAlignment="1">
      <alignment horizontal="right"/>
    </xf>
    <xf numFmtId="2" fontId="24" fillId="0" borderId="16" xfId="0" applyNumberFormat="1" applyFont="1" applyBorder="1" applyAlignment="1">
      <alignment horizontal="right"/>
    </xf>
    <xf numFmtId="0" fontId="17" fillId="0" borderId="22" xfId="0" applyFont="1" applyBorder="1"/>
    <xf numFmtId="0" fontId="17" fillId="0" borderId="11" xfId="0" applyFont="1" applyBorder="1"/>
    <xf numFmtId="0" fontId="13" fillId="0" borderId="65" xfId="0" applyFont="1" applyBorder="1" applyAlignment="1">
      <alignment horizontal="left"/>
    </xf>
    <xf numFmtId="0" fontId="13" fillId="0" borderId="54" xfId="0" applyFont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13" fillId="0" borderId="0" xfId="0" applyFont="1"/>
    <xf numFmtId="49" fontId="17" fillId="0" borderId="22" xfId="2" applyNumberFormat="1" applyFont="1" applyBorder="1" applyAlignment="1">
      <alignment horizontal="left"/>
    </xf>
    <xf numFmtId="49" fontId="17" fillId="0" borderId="20" xfId="2" applyNumberFormat="1" applyFont="1" applyBorder="1" applyAlignment="1">
      <alignment horizontal="left"/>
    </xf>
    <xf numFmtId="0" fontId="4" fillId="0" borderId="0" xfId="1" applyFont="1"/>
    <xf numFmtId="0" fontId="1" fillId="0" borderId="0" xfId="1"/>
    <xf numFmtId="49" fontId="7" fillId="0" borderId="16" xfId="2" applyNumberFormat="1" applyFont="1" applyBorder="1" applyAlignment="1">
      <alignment horizontal="left"/>
    </xf>
    <xf numFmtId="0" fontId="2" fillId="0" borderId="25" xfId="2" applyFont="1" applyBorder="1"/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zoomScaleNormal="100" workbookViewId="0">
      <selection activeCell="C1" sqref="C1"/>
    </sheetView>
  </sheetViews>
  <sheetFormatPr defaultRowHeight="15"/>
  <cols>
    <col min="1" max="1" width="12.7109375" customWidth="1"/>
    <col min="2" max="2" width="15.85546875" customWidth="1"/>
    <col min="3" max="3" width="57.42578125" customWidth="1"/>
    <col min="4" max="4" width="39.7109375" customWidth="1"/>
    <col min="5" max="6" width="15" customWidth="1"/>
    <col min="7" max="7" width="13" customWidth="1"/>
    <col min="8" max="9" width="10.7109375" customWidth="1"/>
  </cols>
  <sheetData>
    <row r="1" spans="1:10">
      <c r="G1" t="s">
        <v>917</v>
      </c>
    </row>
    <row r="2" spans="1:10">
      <c r="G2" t="s">
        <v>915</v>
      </c>
    </row>
    <row r="3" spans="1:10">
      <c r="G3" s="871" t="s">
        <v>916</v>
      </c>
      <c r="H3" s="871"/>
      <c r="I3" s="871"/>
      <c r="J3" s="871"/>
    </row>
    <row r="4" spans="1:10" ht="21">
      <c r="A4" s="950" t="s">
        <v>759</v>
      </c>
      <c r="B4" s="951"/>
      <c r="C4" s="951"/>
      <c r="D4" s="951"/>
      <c r="E4" s="949"/>
      <c r="F4" s="949"/>
    </row>
    <row r="5" spans="1:10" ht="15.75">
      <c r="A5" s="952" t="s">
        <v>349</v>
      </c>
      <c r="B5" s="948"/>
      <c r="C5" s="948"/>
      <c r="D5" s="948"/>
      <c r="E5" s="949"/>
      <c r="F5" s="949"/>
    </row>
    <row r="6" spans="1:10" ht="15.75">
      <c r="A6" s="947" t="s">
        <v>233</v>
      </c>
      <c r="B6" s="948"/>
      <c r="C6" s="948"/>
      <c r="D6" s="948"/>
      <c r="E6" s="949"/>
      <c r="F6" s="949"/>
    </row>
    <row r="7" spans="1:10" ht="15.75">
      <c r="A7" s="947" t="s">
        <v>281</v>
      </c>
      <c r="B7" s="948"/>
      <c r="C7" s="948"/>
      <c r="D7" s="948"/>
      <c r="E7" s="949"/>
      <c r="F7" s="949"/>
    </row>
    <row r="8" spans="1:10" ht="15.75">
      <c r="A8" s="947" t="s">
        <v>212</v>
      </c>
      <c r="B8" s="948"/>
      <c r="C8" s="948"/>
      <c r="D8" s="948"/>
      <c r="E8" s="949"/>
      <c r="F8" s="949"/>
    </row>
    <row r="9" spans="1:10" ht="18">
      <c r="A9" s="3" t="s">
        <v>0</v>
      </c>
      <c r="B9" s="448"/>
      <c r="C9" s="4"/>
      <c r="D9" s="5"/>
      <c r="G9" s="6"/>
    </row>
    <row r="10" spans="1:10" ht="18.75" thickBot="1">
      <c r="A10" s="3"/>
      <c r="B10" s="448"/>
      <c r="C10" s="4"/>
      <c r="D10" s="5"/>
      <c r="G10" s="6"/>
      <c r="I10" s="6" t="s">
        <v>820</v>
      </c>
    </row>
    <row r="11" spans="1:10" ht="15" customHeight="1">
      <c r="A11" s="7" t="s">
        <v>1</v>
      </c>
      <c r="B11" s="8" t="s">
        <v>2</v>
      </c>
      <c r="C11" s="449" t="s">
        <v>3</v>
      </c>
      <c r="D11" s="9"/>
      <c r="E11" s="8" t="s">
        <v>4</v>
      </c>
      <c r="F11" s="8" t="s">
        <v>312</v>
      </c>
      <c r="G11" s="8" t="s">
        <v>314</v>
      </c>
      <c r="H11" s="8" t="s">
        <v>316</v>
      </c>
      <c r="I11" s="10" t="s">
        <v>316</v>
      </c>
    </row>
    <row r="12" spans="1:10">
      <c r="A12" s="11" t="s">
        <v>5</v>
      </c>
      <c r="B12" s="12" t="s">
        <v>6</v>
      </c>
      <c r="C12" s="450" t="s">
        <v>7</v>
      </c>
      <c r="D12" s="13" t="s">
        <v>8</v>
      </c>
      <c r="E12" s="12" t="s">
        <v>231</v>
      </c>
      <c r="F12" s="12" t="s">
        <v>313</v>
      </c>
      <c r="G12" s="12" t="s">
        <v>315</v>
      </c>
      <c r="H12" s="12" t="s">
        <v>317</v>
      </c>
      <c r="I12" s="14" t="s">
        <v>318</v>
      </c>
    </row>
    <row r="13" spans="1:10" ht="15.75" thickBot="1">
      <c r="A13" s="11" t="s">
        <v>9</v>
      </c>
      <c r="B13" s="12" t="s">
        <v>10</v>
      </c>
      <c r="C13" s="450"/>
      <c r="D13" s="13"/>
      <c r="E13" s="15" t="s">
        <v>408</v>
      </c>
      <c r="F13" s="15" t="s">
        <v>760</v>
      </c>
      <c r="G13" s="16" t="str">
        <f>F13</f>
        <v>k 31.12.2025</v>
      </c>
      <c r="H13" s="16" t="s">
        <v>211</v>
      </c>
      <c r="I13" s="17" t="s">
        <v>211</v>
      </c>
    </row>
    <row r="14" spans="1:10" ht="15.75">
      <c r="A14" s="18" t="s">
        <v>11</v>
      </c>
      <c r="B14" s="451"/>
      <c r="C14" s="19"/>
      <c r="D14" s="20"/>
      <c r="E14" s="452"/>
      <c r="F14" s="452"/>
      <c r="G14" s="21"/>
      <c r="H14" s="22"/>
      <c r="I14" s="453"/>
      <c r="J14" s="454"/>
    </row>
    <row r="15" spans="1:10">
      <c r="A15" s="23" t="s">
        <v>261</v>
      </c>
      <c r="B15" s="455" t="s">
        <v>260</v>
      </c>
      <c r="C15" s="24"/>
      <c r="D15" s="455"/>
      <c r="E15" s="25">
        <f>SUM(E16:E16)</f>
        <v>3000</v>
      </c>
      <c r="F15" s="26">
        <f>SUM(F16:F16)</f>
        <v>5900</v>
      </c>
      <c r="G15" s="27">
        <f>SUM(G16)</f>
        <v>2883</v>
      </c>
      <c r="H15" s="28">
        <f>(G15/E15)*100</f>
        <v>96.1</v>
      </c>
      <c r="I15" s="29">
        <f>(G15/F15)*100</f>
        <v>48.864406779661017</v>
      </c>
    </row>
    <row r="16" spans="1:10" ht="15.75">
      <c r="A16" s="456"/>
      <c r="B16" s="457"/>
      <c r="C16" s="30" t="s">
        <v>222</v>
      </c>
      <c r="D16" s="30" t="s">
        <v>12</v>
      </c>
      <c r="E16" s="31">
        <v>3000</v>
      </c>
      <c r="F16" s="32">
        <v>5900</v>
      </c>
      <c r="G16" s="31">
        <v>2883</v>
      </c>
      <c r="H16" s="33">
        <f>(G16/E16)*100</f>
        <v>96.1</v>
      </c>
      <c r="I16" s="34">
        <f>(G16/F16)*100</f>
        <v>48.864406779661017</v>
      </c>
      <c r="J16" s="454"/>
    </row>
    <row r="17" spans="1:11" ht="15.75">
      <c r="A17" s="456"/>
      <c r="B17" s="457"/>
      <c r="C17" s="30"/>
      <c r="D17" s="458"/>
      <c r="E17" s="27"/>
      <c r="F17" s="35"/>
      <c r="G17" s="27"/>
      <c r="H17" s="28"/>
      <c r="I17" s="29"/>
    </row>
    <row r="18" spans="1:11">
      <c r="A18" s="36" t="s">
        <v>13</v>
      </c>
      <c r="B18" s="945" t="s">
        <v>208</v>
      </c>
      <c r="C18" s="945"/>
      <c r="D18" s="946"/>
      <c r="E18" s="461">
        <f>E19+E22</f>
        <v>22579</v>
      </c>
      <c r="F18" s="462">
        <f>F19+F22</f>
        <v>19057.7</v>
      </c>
      <c r="G18" s="461">
        <f>G19+G22</f>
        <v>13954</v>
      </c>
      <c r="H18" s="28">
        <f t="shared" ref="H18:H27" si="0">(G18/E18)*100</f>
        <v>61.800788343150714</v>
      </c>
      <c r="I18" s="29">
        <f t="shared" ref="I18:I27" si="1">(G18/F18)*100</f>
        <v>73.219748448133828</v>
      </c>
    </row>
    <row r="19" spans="1:11">
      <c r="A19" s="36"/>
      <c r="B19" s="459"/>
      <c r="C19" s="459"/>
      <c r="D19" s="460"/>
      <c r="E19" s="461">
        <f>SUM(E20:E21)</f>
        <v>759</v>
      </c>
      <c r="F19" s="462">
        <f>SUM(F20:F21)</f>
        <v>1259</v>
      </c>
      <c r="G19" s="461">
        <f>SUM(G20:G21)</f>
        <v>1043</v>
      </c>
      <c r="H19" s="28">
        <f t="shared" si="0"/>
        <v>137.41765480895916</v>
      </c>
      <c r="I19" s="29">
        <f t="shared" si="1"/>
        <v>82.843526608419381</v>
      </c>
    </row>
    <row r="20" spans="1:11">
      <c r="A20" s="463"/>
      <c r="B20" s="365"/>
      <c r="C20" s="30" t="s">
        <v>14</v>
      </c>
      <c r="D20" s="30" t="s">
        <v>12</v>
      </c>
      <c r="E20" s="32">
        <v>48.5</v>
      </c>
      <c r="F20" s="32">
        <v>48.5</v>
      </c>
      <c r="G20" s="31">
        <v>4</v>
      </c>
      <c r="H20" s="33">
        <f t="shared" si="0"/>
        <v>8.2474226804123703</v>
      </c>
      <c r="I20" s="34">
        <f t="shared" si="1"/>
        <v>8.2474226804123703</v>
      </c>
    </row>
    <row r="21" spans="1:11">
      <c r="A21" s="463"/>
      <c r="B21" s="365"/>
      <c r="C21" s="30" t="s">
        <v>15</v>
      </c>
      <c r="D21" s="30" t="s">
        <v>12</v>
      </c>
      <c r="E21" s="32">
        <v>710.5</v>
      </c>
      <c r="F21" s="32">
        <v>1210.5</v>
      </c>
      <c r="G21" s="31">
        <v>1039</v>
      </c>
      <c r="H21" s="33">
        <f t="shared" si="0"/>
        <v>146.23504574243492</v>
      </c>
      <c r="I21" s="34">
        <f t="shared" si="1"/>
        <v>85.832300702189173</v>
      </c>
    </row>
    <row r="22" spans="1:11">
      <c r="A22" s="37"/>
      <c r="B22" s="30"/>
      <c r="C22" s="464" t="s">
        <v>297</v>
      </c>
      <c r="D22" s="465"/>
      <c r="E22" s="27">
        <f>SUM(E23:E26)</f>
        <v>21820</v>
      </c>
      <c r="F22" s="35">
        <f>SUM(F23:F26)</f>
        <v>17798.7</v>
      </c>
      <c r="G22" s="27">
        <f>SUM(G23:G26)</f>
        <v>12911</v>
      </c>
      <c r="H22" s="28">
        <f t="shared" si="0"/>
        <v>59.170485792850592</v>
      </c>
      <c r="I22" s="29">
        <f t="shared" si="1"/>
        <v>72.539005657716572</v>
      </c>
    </row>
    <row r="23" spans="1:11">
      <c r="A23" s="37"/>
      <c r="B23" s="466"/>
      <c r="C23" s="30" t="s">
        <v>298</v>
      </c>
      <c r="D23" s="465" t="s">
        <v>12</v>
      </c>
      <c r="E23" s="31">
        <v>400</v>
      </c>
      <c r="F23" s="32">
        <v>400</v>
      </c>
      <c r="G23" s="31">
        <v>0</v>
      </c>
      <c r="H23" s="33">
        <f t="shared" si="0"/>
        <v>0</v>
      </c>
      <c r="I23" s="34">
        <f t="shared" si="1"/>
        <v>0</v>
      </c>
    </row>
    <row r="24" spans="1:11">
      <c r="A24" s="37"/>
      <c r="B24" s="466"/>
      <c r="C24" s="30" t="s">
        <v>409</v>
      </c>
      <c r="D24" s="465" t="s">
        <v>12</v>
      </c>
      <c r="E24" s="38">
        <v>17920</v>
      </c>
      <c r="F24" s="39">
        <v>15414</v>
      </c>
      <c r="G24" s="467">
        <v>11036</v>
      </c>
      <c r="H24" s="33">
        <f t="shared" si="0"/>
        <v>61.584821428571423</v>
      </c>
      <c r="I24" s="34">
        <f t="shared" si="1"/>
        <v>71.597249253925</v>
      </c>
      <c r="K24" s="468"/>
    </row>
    <row r="25" spans="1:11">
      <c r="A25" s="40"/>
      <c r="B25" s="466"/>
      <c r="C25" s="30" t="s">
        <v>410</v>
      </c>
      <c r="D25" s="465" t="s">
        <v>12</v>
      </c>
      <c r="E25" s="38">
        <v>2500</v>
      </c>
      <c r="F25" s="39">
        <v>914.7</v>
      </c>
      <c r="G25" s="467">
        <v>837</v>
      </c>
      <c r="H25" s="41">
        <f t="shared" si="0"/>
        <v>33.479999999999997</v>
      </c>
      <c r="I25" s="42">
        <f t="shared" si="1"/>
        <v>91.50541161036405</v>
      </c>
    </row>
    <row r="26" spans="1:11" ht="15.75" thickBot="1">
      <c r="A26" s="469"/>
      <c r="B26" s="470"/>
      <c r="C26" s="30" t="s">
        <v>411</v>
      </c>
      <c r="D26" s="465" t="s">
        <v>12</v>
      </c>
      <c r="E26" s="38">
        <v>1000</v>
      </c>
      <c r="F26" s="39">
        <v>1070</v>
      </c>
      <c r="G26" s="467">
        <v>1038</v>
      </c>
      <c r="H26" s="41">
        <f t="shared" si="0"/>
        <v>103.8</v>
      </c>
      <c r="I26" s="42">
        <f t="shared" si="1"/>
        <v>97.009345794392516</v>
      </c>
    </row>
    <row r="27" spans="1:11" ht="16.5" thickBot="1">
      <c r="A27" s="442" t="s">
        <v>16</v>
      </c>
      <c r="B27" s="444"/>
      <c r="C27" s="43"/>
      <c r="D27" s="43"/>
      <c r="E27" s="44">
        <f>E15+E18</f>
        <v>25579</v>
      </c>
      <c r="F27" s="372">
        <f>F15+F18</f>
        <v>24957.7</v>
      </c>
      <c r="G27" s="44">
        <f>G15+G18</f>
        <v>16837</v>
      </c>
      <c r="H27" s="471">
        <f t="shared" si="0"/>
        <v>65.823527112084136</v>
      </c>
      <c r="I27" s="472">
        <f t="shared" si="1"/>
        <v>67.462145950949008</v>
      </c>
    </row>
    <row r="28" spans="1:11" ht="8.25" customHeight="1" thickBot="1">
      <c r="G28" s="473"/>
    </row>
    <row r="29" spans="1:11">
      <c r="A29" s="7" t="s">
        <v>1</v>
      </c>
      <c r="B29" s="8" t="s">
        <v>2</v>
      </c>
      <c r="C29" s="45" t="s">
        <v>3</v>
      </c>
      <c r="D29" s="9"/>
      <c r="E29" s="8" t="s">
        <v>4</v>
      </c>
      <c r="F29" s="8" t="s">
        <v>312</v>
      </c>
      <c r="G29" s="8" t="s">
        <v>314</v>
      </c>
      <c r="H29" s="8" t="s">
        <v>316</v>
      </c>
      <c r="I29" s="10" t="s">
        <v>316</v>
      </c>
    </row>
    <row r="30" spans="1:11">
      <c r="A30" s="11" t="s">
        <v>5</v>
      </c>
      <c r="B30" s="12" t="s">
        <v>6</v>
      </c>
      <c r="C30" s="46" t="s">
        <v>7</v>
      </c>
      <c r="D30" s="13" t="s">
        <v>8</v>
      </c>
      <c r="E30" s="12" t="s">
        <v>231</v>
      </c>
      <c r="F30" s="12" t="s">
        <v>319</v>
      </c>
      <c r="G30" s="12" t="s">
        <v>315</v>
      </c>
      <c r="H30" s="12" t="s">
        <v>317</v>
      </c>
      <c r="I30" s="14" t="s">
        <v>318</v>
      </c>
    </row>
    <row r="31" spans="1:11" ht="15.75" thickBot="1">
      <c r="A31" s="47" t="s">
        <v>9</v>
      </c>
      <c r="B31" s="15" t="s">
        <v>10</v>
      </c>
      <c r="C31" s="48"/>
      <c r="D31" s="49"/>
      <c r="E31" s="15" t="s">
        <v>408</v>
      </c>
      <c r="F31" s="16">
        <v>46022</v>
      </c>
      <c r="G31" s="16">
        <f>F31</f>
        <v>46022</v>
      </c>
      <c r="H31" s="16" t="s">
        <v>211</v>
      </c>
      <c r="I31" s="17" t="s">
        <v>211</v>
      </c>
    </row>
    <row r="32" spans="1:11" ht="15.75">
      <c r="A32" s="50" t="s">
        <v>320</v>
      </c>
      <c r="B32" s="51"/>
      <c r="C32" s="52"/>
      <c r="D32" s="53"/>
      <c r="E32" s="54"/>
      <c r="F32" s="373"/>
      <c r="G32" s="54"/>
      <c r="H32" s="51"/>
      <c r="I32" s="55"/>
    </row>
    <row r="33" spans="1:9">
      <c r="A33" s="56" t="s">
        <v>13</v>
      </c>
      <c r="B33" s="942" t="s">
        <v>208</v>
      </c>
      <c r="C33" s="943"/>
      <c r="D33" s="944"/>
      <c r="E33" s="57">
        <f>SUM(E34:E43)</f>
        <v>1500</v>
      </c>
      <c r="F33" s="58">
        <f>SUM(F34:F43)</f>
        <v>219880.90000000002</v>
      </c>
      <c r="G33" s="57">
        <f>SUM(G34:G43)</f>
        <v>23419</v>
      </c>
      <c r="H33" s="28">
        <f t="shared" ref="H33" si="2">(G33/E33)*100</f>
        <v>1561.2666666666667</v>
      </c>
      <c r="I33" s="29">
        <f t="shared" ref="I33:I43" si="3">(G33/F33)*100</f>
        <v>10.650765937377916</v>
      </c>
    </row>
    <row r="34" spans="1:9">
      <c r="A34" s="474" t="s">
        <v>13</v>
      </c>
      <c r="B34" s="59" t="s">
        <v>374</v>
      </c>
      <c r="C34" s="475" t="s">
        <v>375</v>
      </c>
      <c r="D34" s="366" t="s">
        <v>12</v>
      </c>
      <c r="E34" s="60">
        <v>0</v>
      </c>
      <c r="F34" s="61">
        <f>E34+77515</f>
        <v>77515</v>
      </c>
      <c r="G34" s="865">
        <v>21299</v>
      </c>
      <c r="H34" s="62" t="s">
        <v>280</v>
      </c>
      <c r="I34" s="34">
        <f t="shared" si="3"/>
        <v>27.477262465329289</v>
      </c>
    </row>
    <row r="35" spans="1:9">
      <c r="A35" s="474" t="s">
        <v>13</v>
      </c>
      <c r="B35" s="59" t="s">
        <v>376</v>
      </c>
      <c r="C35" s="475" t="s">
        <v>377</v>
      </c>
      <c r="D35" s="366" t="s">
        <v>12</v>
      </c>
      <c r="E35" s="60">
        <v>0</v>
      </c>
      <c r="F35" s="61">
        <f>E35+98.1</f>
        <v>98.1</v>
      </c>
      <c r="G35" s="476">
        <v>0</v>
      </c>
      <c r="H35" s="62" t="s">
        <v>280</v>
      </c>
      <c r="I35" s="34">
        <f t="shared" si="3"/>
        <v>0</v>
      </c>
    </row>
    <row r="36" spans="1:9">
      <c r="A36" s="474" t="s">
        <v>13</v>
      </c>
      <c r="B36" s="59" t="s">
        <v>897</v>
      </c>
      <c r="C36" s="475" t="s">
        <v>321</v>
      </c>
      <c r="D36" s="366" t="s">
        <v>12</v>
      </c>
      <c r="E36" s="60">
        <v>0</v>
      </c>
      <c r="F36" s="61">
        <f>E36+2365.7</f>
        <v>2365.6999999999998</v>
      </c>
      <c r="G36" s="476">
        <v>498</v>
      </c>
      <c r="H36" s="62" t="s">
        <v>280</v>
      </c>
      <c r="I36" s="34">
        <f t="shared" si="3"/>
        <v>21.050851756351189</v>
      </c>
    </row>
    <row r="37" spans="1:9">
      <c r="A37" s="474" t="s">
        <v>13</v>
      </c>
      <c r="B37" s="59" t="s">
        <v>372</v>
      </c>
      <c r="C37" s="475" t="s">
        <v>324</v>
      </c>
      <c r="D37" s="366" t="s">
        <v>12</v>
      </c>
      <c r="E37" s="60">
        <v>1500</v>
      </c>
      <c r="F37" s="61">
        <v>0</v>
      </c>
      <c r="G37" s="866">
        <v>0</v>
      </c>
      <c r="H37" s="63">
        <f t="shared" ref="H37" si="4">(G37/E37)*100</f>
        <v>0</v>
      </c>
      <c r="I37" s="64" t="s">
        <v>280</v>
      </c>
    </row>
    <row r="38" spans="1:9">
      <c r="A38" s="474" t="s">
        <v>13</v>
      </c>
      <c r="B38" s="59" t="s">
        <v>898</v>
      </c>
      <c r="C38" s="475" t="s">
        <v>324</v>
      </c>
      <c r="D38" s="366" t="s">
        <v>12</v>
      </c>
      <c r="E38" s="60">
        <v>0</v>
      </c>
      <c r="F38" s="61">
        <v>2732.1</v>
      </c>
      <c r="G38" s="866">
        <v>843</v>
      </c>
      <c r="H38" s="62" t="s">
        <v>280</v>
      </c>
      <c r="I38" s="34">
        <f t="shared" ref="I38:I42" si="5">(G38/F38)*100</f>
        <v>30.855385966838693</v>
      </c>
    </row>
    <row r="39" spans="1:9">
      <c r="A39" s="474" t="s">
        <v>13</v>
      </c>
      <c r="B39" s="59" t="s">
        <v>373</v>
      </c>
      <c r="C39" s="475" t="s">
        <v>427</v>
      </c>
      <c r="D39" s="366" t="s">
        <v>12</v>
      </c>
      <c r="E39" s="60">
        <v>0</v>
      </c>
      <c r="F39" s="61">
        <v>10066</v>
      </c>
      <c r="G39" s="866">
        <v>260</v>
      </c>
      <c r="H39" s="62" t="s">
        <v>280</v>
      </c>
      <c r="I39" s="34">
        <f t="shared" si="5"/>
        <v>2.5829525134114841</v>
      </c>
    </row>
    <row r="40" spans="1:9">
      <c r="A40" s="474" t="s">
        <v>13</v>
      </c>
      <c r="B40" s="59" t="s">
        <v>899</v>
      </c>
      <c r="C40" s="475" t="s">
        <v>770</v>
      </c>
      <c r="D40" s="366" t="s">
        <v>12</v>
      </c>
      <c r="E40" s="60">
        <v>0</v>
      </c>
      <c r="F40" s="61">
        <v>1815</v>
      </c>
      <c r="G40" s="866">
        <v>0</v>
      </c>
      <c r="H40" s="62" t="s">
        <v>280</v>
      </c>
      <c r="I40" s="34">
        <f t="shared" si="5"/>
        <v>0</v>
      </c>
    </row>
    <row r="41" spans="1:9">
      <c r="A41" s="474" t="s">
        <v>13</v>
      </c>
      <c r="B41" s="59" t="s">
        <v>861</v>
      </c>
      <c r="C41" s="475" t="s">
        <v>771</v>
      </c>
      <c r="D41" s="366" t="s">
        <v>12</v>
      </c>
      <c r="E41" s="60">
        <v>0</v>
      </c>
      <c r="F41" s="61">
        <v>800</v>
      </c>
      <c r="G41" s="866">
        <v>181</v>
      </c>
      <c r="H41" s="62" t="s">
        <v>280</v>
      </c>
      <c r="I41" s="34">
        <f t="shared" si="5"/>
        <v>22.625</v>
      </c>
    </row>
    <row r="42" spans="1:9">
      <c r="A42" s="477" t="s">
        <v>13</v>
      </c>
      <c r="B42" s="478" t="s">
        <v>900</v>
      </c>
      <c r="C42" s="479" t="s">
        <v>540</v>
      </c>
      <c r="D42" s="393" t="s">
        <v>12</v>
      </c>
      <c r="E42" s="60">
        <v>0</v>
      </c>
      <c r="F42" s="61">
        <v>1800</v>
      </c>
      <c r="G42" s="866">
        <v>338</v>
      </c>
      <c r="H42" s="62" t="s">
        <v>280</v>
      </c>
      <c r="I42" s="34">
        <f t="shared" si="5"/>
        <v>18.777777777777775</v>
      </c>
    </row>
    <row r="43" spans="1:9" ht="15.75" thickBot="1">
      <c r="A43" s="474" t="s">
        <v>13</v>
      </c>
      <c r="B43" s="480" t="s">
        <v>428</v>
      </c>
      <c r="C43" s="481" t="s">
        <v>378</v>
      </c>
      <c r="D43" s="366" t="s">
        <v>379</v>
      </c>
      <c r="E43" s="60">
        <v>0</v>
      </c>
      <c r="F43" s="61">
        <f>E43+122689</f>
        <v>122689</v>
      </c>
      <c r="G43" s="866">
        <v>0</v>
      </c>
      <c r="H43" s="62" t="s">
        <v>280</v>
      </c>
      <c r="I43" s="34">
        <f t="shared" si="3"/>
        <v>0</v>
      </c>
    </row>
    <row r="44" spans="1:9" ht="16.5" thickBot="1">
      <c r="A44" s="65" t="s">
        <v>322</v>
      </c>
      <c r="B44" s="482"/>
      <c r="C44" s="66"/>
      <c r="D44" s="66"/>
      <c r="E44" s="483">
        <f>E33</f>
        <v>1500</v>
      </c>
      <c r="F44" s="484">
        <f>F33</f>
        <v>219880.90000000002</v>
      </c>
      <c r="G44" s="483">
        <f>G33</f>
        <v>23419</v>
      </c>
      <c r="H44" s="485">
        <f>(G44/E44)*100</f>
        <v>1561.2666666666667</v>
      </c>
      <c r="I44" s="67">
        <f>G44/F44*100</f>
        <v>10.650765937377916</v>
      </c>
    </row>
    <row r="45" spans="1:9" ht="16.5" thickBot="1">
      <c r="A45" s="486"/>
      <c r="B45" s="68"/>
      <c r="C45" s="68"/>
      <c r="D45" s="68"/>
      <c r="E45" s="68"/>
      <c r="F45" s="487"/>
      <c r="G45" s="68"/>
      <c r="H45" s="488"/>
      <c r="I45" s="488"/>
    </row>
    <row r="46" spans="1:9" ht="16.5" thickBot="1">
      <c r="A46" s="69" t="s">
        <v>323</v>
      </c>
      <c r="B46" s="489"/>
      <c r="C46" s="489"/>
      <c r="D46" s="66"/>
      <c r="E46" s="483">
        <f>E27+E44</f>
        <v>27079</v>
      </c>
      <c r="F46" s="484">
        <f>F27+F44</f>
        <v>244838.60000000003</v>
      </c>
      <c r="G46" s="483">
        <f>G27+G44</f>
        <v>40256</v>
      </c>
      <c r="H46" s="490">
        <f>(G46/E46)*100</f>
        <v>148.6613242734222</v>
      </c>
      <c r="I46" s="491">
        <f>(G46/F46)*100</f>
        <v>16.441851897535763</v>
      </c>
    </row>
    <row r="47" spans="1:9" ht="15.75" customHeight="1"/>
  </sheetData>
  <mergeCells count="7">
    <mergeCell ref="B33:D33"/>
    <mergeCell ref="B18:D18"/>
    <mergeCell ref="A7:F7"/>
    <mergeCell ref="A8:F8"/>
    <mergeCell ref="A4:F4"/>
    <mergeCell ref="A5:F5"/>
    <mergeCell ref="A6:F6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zoomScaleNormal="100" workbookViewId="0">
      <selection activeCell="L15" sqref="L15"/>
    </sheetView>
  </sheetViews>
  <sheetFormatPr defaultRowHeight="15"/>
  <cols>
    <col min="1" max="1" width="12.7109375" customWidth="1"/>
    <col min="2" max="2" width="16.28515625" customWidth="1"/>
    <col min="3" max="3" width="40.28515625" customWidth="1"/>
    <col min="4" max="4" width="38.28515625" customWidth="1"/>
    <col min="5" max="5" width="13.140625" customWidth="1"/>
    <col min="6" max="6" width="14.7109375" customWidth="1"/>
    <col min="7" max="7" width="12.85546875" customWidth="1"/>
    <col min="8" max="8" width="10.140625" bestFit="1" customWidth="1"/>
    <col min="12" max="12" width="24.140625" customWidth="1"/>
  </cols>
  <sheetData>
    <row r="1" spans="1:12" ht="8.25" customHeight="1"/>
    <row r="2" spans="1:12" ht="15.75">
      <c r="A2" s="3" t="s">
        <v>17</v>
      </c>
      <c r="B2" s="4"/>
      <c r="C2" s="4"/>
      <c r="D2" s="5"/>
    </row>
    <row r="3" spans="1:12" ht="16.5" customHeight="1" thickBot="1">
      <c r="A3" s="4"/>
      <c r="B3" s="4"/>
      <c r="C3" s="4"/>
      <c r="D3" s="5" t="s">
        <v>18</v>
      </c>
      <c r="G3" s="6"/>
      <c r="I3" s="6" t="s">
        <v>818</v>
      </c>
    </row>
    <row r="4" spans="1:12" ht="15" customHeight="1">
      <c r="A4" s="71" t="s">
        <v>1</v>
      </c>
      <c r="B4" s="8" t="s">
        <v>2</v>
      </c>
      <c r="C4" s="72" t="s">
        <v>3</v>
      </c>
      <c r="D4" s="9"/>
      <c r="E4" s="8" t="s">
        <v>4</v>
      </c>
      <c r="F4" s="8" t="s">
        <v>312</v>
      </c>
      <c r="G4" s="8" t="s">
        <v>314</v>
      </c>
      <c r="H4" s="73" t="s">
        <v>316</v>
      </c>
      <c r="I4" s="10" t="s">
        <v>316</v>
      </c>
    </row>
    <row r="5" spans="1:12">
      <c r="A5" s="74" t="s">
        <v>5</v>
      </c>
      <c r="B5" s="12" t="s">
        <v>6</v>
      </c>
      <c r="C5" s="75" t="s">
        <v>7</v>
      </c>
      <c r="D5" s="13" t="s">
        <v>8</v>
      </c>
      <c r="E5" s="12" t="s">
        <v>231</v>
      </c>
      <c r="F5" s="12" t="s">
        <v>319</v>
      </c>
      <c r="G5" s="12" t="s">
        <v>315</v>
      </c>
      <c r="H5" s="76" t="s">
        <v>317</v>
      </c>
      <c r="I5" s="14" t="s">
        <v>318</v>
      </c>
    </row>
    <row r="6" spans="1:12" ht="15.75" thickBot="1">
      <c r="A6" s="77" t="s">
        <v>9</v>
      </c>
      <c r="B6" s="15" t="s">
        <v>10</v>
      </c>
      <c r="C6" s="78"/>
      <c r="D6" s="49"/>
      <c r="E6" s="15" t="s">
        <v>408</v>
      </c>
      <c r="F6" s="16">
        <v>46022</v>
      </c>
      <c r="G6" s="16">
        <f>F6</f>
        <v>46022</v>
      </c>
      <c r="H6" s="79" t="s">
        <v>211</v>
      </c>
      <c r="I6" s="17" t="s">
        <v>211</v>
      </c>
    </row>
    <row r="7" spans="1:12" ht="15.75">
      <c r="A7" s="492" t="s">
        <v>11</v>
      </c>
      <c r="B7" s="493"/>
      <c r="C7" s="52"/>
      <c r="D7" s="494"/>
      <c r="E7" s="495"/>
      <c r="F7" s="495"/>
      <c r="G7" s="80"/>
      <c r="H7" s="496"/>
      <c r="I7" s="497"/>
    </row>
    <row r="8" spans="1:12">
      <c r="A8" s="498" t="s">
        <v>19</v>
      </c>
      <c r="B8" s="499" t="s">
        <v>248</v>
      </c>
      <c r="C8" s="500"/>
      <c r="D8" s="501"/>
      <c r="E8" s="27">
        <f>SUM(E9:E15)</f>
        <v>115961</v>
      </c>
      <c r="F8" s="35">
        <f>SUM(F9:F15)</f>
        <v>113194.2</v>
      </c>
      <c r="G8" s="27">
        <f>SUM(G9:G15)</f>
        <v>85513</v>
      </c>
      <c r="H8" s="502">
        <f>G8/E8*100</f>
        <v>73.742896318589871</v>
      </c>
      <c r="I8" s="503">
        <f>G8/F8*100</f>
        <v>75.545390134830242</v>
      </c>
    </row>
    <row r="9" spans="1:12">
      <c r="A9" s="504"/>
      <c r="B9" s="81"/>
      <c r="C9" s="81" t="s">
        <v>20</v>
      </c>
      <c r="D9" s="81" t="s">
        <v>21</v>
      </c>
      <c r="E9" s="82">
        <v>11000</v>
      </c>
      <c r="F9" s="505">
        <v>11000</v>
      </c>
      <c r="G9" s="31">
        <v>11000</v>
      </c>
      <c r="H9" s="506">
        <f>G9/E9*100</f>
        <v>100</v>
      </c>
      <c r="I9" s="507">
        <f>G9/F9*100</f>
        <v>100</v>
      </c>
    </row>
    <row r="10" spans="1:12">
      <c r="A10" s="83"/>
      <c r="B10" s="81"/>
      <c r="C10" s="81" t="s">
        <v>207</v>
      </c>
      <c r="D10" s="81" t="s">
        <v>22</v>
      </c>
      <c r="E10" s="82">
        <v>4500</v>
      </c>
      <c r="F10" s="505">
        <v>5113.2</v>
      </c>
      <c r="G10" s="31">
        <v>3576</v>
      </c>
      <c r="H10" s="506">
        <f t="shared" ref="H10:H15" si="0">G10/E10*100</f>
        <v>79.466666666666669</v>
      </c>
      <c r="I10" s="507">
        <f t="shared" ref="I10:I15" si="1">G10/F10*100</f>
        <v>69.936634592818592</v>
      </c>
      <c r="L10" s="133"/>
    </row>
    <row r="11" spans="1:12">
      <c r="A11" s="83"/>
      <c r="B11" s="81"/>
      <c r="C11" s="81" t="s">
        <v>23</v>
      </c>
      <c r="D11" s="81" t="s">
        <v>24</v>
      </c>
      <c r="E11" s="82">
        <v>800</v>
      </c>
      <c r="F11" s="505">
        <v>800</v>
      </c>
      <c r="G11" s="31">
        <v>149</v>
      </c>
      <c r="H11" s="506">
        <f t="shared" si="0"/>
        <v>18.625</v>
      </c>
      <c r="I11" s="507">
        <f t="shared" si="1"/>
        <v>18.625</v>
      </c>
      <c r="L11" s="133"/>
    </row>
    <row r="12" spans="1:12">
      <c r="A12" s="504"/>
      <c r="B12" s="84"/>
      <c r="C12" s="81" t="s">
        <v>246</v>
      </c>
      <c r="D12" s="81" t="s">
        <v>25</v>
      </c>
      <c r="E12" s="82">
        <v>73000</v>
      </c>
      <c r="F12" s="505">
        <v>69870</v>
      </c>
      <c r="G12" s="31">
        <v>51592</v>
      </c>
      <c r="H12" s="506">
        <f t="shared" si="0"/>
        <v>70.673972602739724</v>
      </c>
      <c r="I12" s="507">
        <f t="shared" si="1"/>
        <v>73.839988550164591</v>
      </c>
      <c r="L12" s="133"/>
    </row>
    <row r="13" spans="1:12">
      <c r="A13" s="504"/>
      <c r="B13" s="85"/>
      <c r="C13" s="86" t="s">
        <v>223</v>
      </c>
      <c r="D13" s="86" t="s">
        <v>26</v>
      </c>
      <c r="E13" s="82">
        <v>8000</v>
      </c>
      <c r="F13" s="505">
        <v>8000</v>
      </c>
      <c r="G13" s="31">
        <v>2304</v>
      </c>
      <c r="H13" s="506">
        <f t="shared" si="0"/>
        <v>28.799999999999997</v>
      </c>
      <c r="I13" s="507">
        <f t="shared" si="1"/>
        <v>28.799999999999997</v>
      </c>
      <c r="L13" s="133"/>
    </row>
    <row r="14" spans="1:12">
      <c r="A14" s="508"/>
      <c r="B14" s="85"/>
      <c r="C14" s="86" t="s">
        <v>267</v>
      </c>
      <c r="D14" s="509" t="s">
        <v>268</v>
      </c>
      <c r="E14" s="510">
        <v>13556</v>
      </c>
      <c r="F14" s="511">
        <v>13556</v>
      </c>
      <c r="G14" s="31">
        <v>13527</v>
      </c>
      <c r="H14" s="506">
        <f t="shared" si="0"/>
        <v>99.786072587784005</v>
      </c>
      <c r="I14" s="507">
        <f t="shared" si="1"/>
        <v>99.786072587784005</v>
      </c>
      <c r="L14" s="133"/>
    </row>
    <row r="15" spans="1:12" ht="15.75" thickBot="1">
      <c r="A15" s="508"/>
      <c r="B15" s="85"/>
      <c r="C15" s="86" t="s">
        <v>234</v>
      </c>
      <c r="D15" s="509" t="s">
        <v>130</v>
      </c>
      <c r="E15" s="510">
        <v>5105</v>
      </c>
      <c r="F15" s="511">
        <v>4855</v>
      </c>
      <c r="G15" s="31">
        <v>3365</v>
      </c>
      <c r="H15" s="506">
        <f t="shared" si="0"/>
        <v>65.915768854064638</v>
      </c>
      <c r="I15" s="507">
        <f t="shared" si="1"/>
        <v>69.309989701338822</v>
      </c>
      <c r="L15" s="133"/>
    </row>
    <row r="16" spans="1:12" ht="16.5" thickBot="1">
      <c r="A16" s="953" t="s">
        <v>16</v>
      </c>
      <c r="B16" s="954"/>
      <c r="C16" s="955"/>
      <c r="D16" s="87"/>
      <c r="E16" s="44">
        <f>E8</f>
        <v>115961</v>
      </c>
      <c r="F16" s="372">
        <f>F8</f>
        <v>113194.2</v>
      </c>
      <c r="G16" s="44">
        <f>G8</f>
        <v>85513</v>
      </c>
      <c r="H16" s="88">
        <f>G16/E16*100</f>
        <v>73.742896318589871</v>
      </c>
      <c r="I16" s="67">
        <f>G16/F16*100</f>
        <v>75.545390134830242</v>
      </c>
      <c r="L16" s="133"/>
    </row>
    <row r="17" spans="1:12" ht="15.75">
      <c r="A17" s="89"/>
      <c r="B17" s="89"/>
      <c r="C17" s="89"/>
      <c r="D17" s="89"/>
      <c r="E17" s="651"/>
      <c r="F17" s="650"/>
      <c r="G17" s="651"/>
      <c r="H17" s="824"/>
      <c r="I17" s="824"/>
      <c r="L17" s="133"/>
    </row>
    <row r="18" spans="1:12" ht="16.5" thickBot="1">
      <c r="A18" s="89"/>
      <c r="B18" s="89"/>
      <c r="C18" s="89"/>
      <c r="D18" s="89"/>
      <c r="E18" s="379"/>
      <c r="F18" s="822"/>
      <c r="G18" s="823"/>
      <c r="L18" s="133"/>
    </row>
    <row r="19" spans="1:12">
      <c r="A19" s="7" t="s">
        <v>1</v>
      </c>
      <c r="B19" s="8" t="s">
        <v>2</v>
      </c>
      <c r="C19" s="45" t="s">
        <v>3</v>
      </c>
      <c r="D19" s="9"/>
      <c r="E19" s="8" t="s">
        <v>4</v>
      </c>
      <c r="F19" s="8" t="s">
        <v>312</v>
      </c>
      <c r="G19" s="8" t="s">
        <v>314</v>
      </c>
      <c r="H19" s="8" t="s">
        <v>316</v>
      </c>
      <c r="I19" s="10" t="s">
        <v>316</v>
      </c>
    </row>
    <row r="20" spans="1:12">
      <c r="A20" s="11" t="s">
        <v>5</v>
      </c>
      <c r="B20" s="12" t="s">
        <v>6</v>
      </c>
      <c r="C20" s="46" t="s">
        <v>7</v>
      </c>
      <c r="D20" s="13" t="s">
        <v>8</v>
      </c>
      <c r="E20" s="12" t="s">
        <v>231</v>
      </c>
      <c r="F20" s="12" t="s">
        <v>319</v>
      </c>
      <c r="G20" s="12" t="s">
        <v>315</v>
      </c>
      <c r="H20" s="12" t="s">
        <v>317</v>
      </c>
      <c r="I20" s="14" t="s">
        <v>318</v>
      </c>
      <c r="K20" s="90"/>
    </row>
    <row r="21" spans="1:12" ht="15.75" thickBot="1">
      <c r="A21" s="47" t="s">
        <v>9</v>
      </c>
      <c r="B21" s="15" t="s">
        <v>10</v>
      </c>
      <c r="C21" s="48"/>
      <c r="D21" s="49"/>
      <c r="E21" s="15" t="s">
        <v>408</v>
      </c>
      <c r="F21" s="16">
        <v>46022</v>
      </c>
      <c r="G21" s="16">
        <f>F21</f>
        <v>46022</v>
      </c>
      <c r="H21" s="16" t="s">
        <v>211</v>
      </c>
      <c r="I21" s="17" t="s">
        <v>211</v>
      </c>
    </row>
    <row r="22" spans="1:12" ht="15.75">
      <c r="A22" s="18" t="s">
        <v>320</v>
      </c>
      <c r="B22" s="91"/>
      <c r="C22" s="19"/>
      <c r="D22" s="20"/>
      <c r="E22" s="92"/>
      <c r="F22" s="514"/>
      <c r="G22" s="92"/>
      <c r="H22" s="91"/>
      <c r="I22" s="515"/>
    </row>
    <row r="23" spans="1:12">
      <c r="A23" s="516" t="s">
        <v>19</v>
      </c>
      <c r="B23" s="956" t="s">
        <v>248</v>
      </c>
      <c r="C23" s="956"/>
      <c r="D23" s="956"/>
      <c r="E23" s="517">
        <f>SUM(E24:E33)+SUM(E40:E49)</f>
        <v>3945</v>
      </c>
      <c r="F23" s="872">
        <f t="shared" ref="F23:G23" si="2">SUM(F24:F33)+SUM(F40:F49)</f>
        <v>21862.9</v>
      </c>
      <c r="G23" s="517">
        <f t="shared" si="2"/>
        <v>1510</v>
      </c>
      <c r="H23" s="518">
        <f>(G23/E23)*100</f>
        <v>38.276299112801013</v>
      </c>
      <c r="I23" s="519">
        <f>(G23/F23)*100</f>
        <v>6.9066775221951344</v>
      </c>
    </row>
    <row r="24" spans="1:12" ht="26.25">
      <c r="A24" s="93" t="s">
        <v>19</v>
      </c>
      <c r="B24" s="59" t="s">
        <v>325</v>
      </c>
      <c r="C24" s="475" t="s">
        <v>429</v>
      </c>
      <c r="D24" s="475" t="s">
        <v>25</v>
      </c>
      <c r="E24" s="60">
        <v>180</v>
      </c>
      <c r="F24" s="61">
        <f t="shared" ref="F24:F28" si="3">E24</f>
        <v>180</v>
      </c>
      <c r="G24" s="31">
        <v>0</v>
      </c>
      <c r="H24" s="63">
        <f t="shared" ref="H24:H29" si="4">(G24/E24)*100</f>
        <v>0</v>
      </c>
      <c r="I24" s="34">
        <f t="shared" ref="I24:I49" si="5">(G24/F24)*100</f>
        <v>0</v>
      </c>
    </row>
    <row r="25" spans="1:12" ht="15" customHeight="1">
      <c r="A25" s="93" t="s">
        <v>19</v>
      </c>
      <c r="B25" s="59" t="s">
        <v>328</v>
      </c>
      <c r="C25" s="475" t="s">
        <v>329</v>
      </c>
      <c r="D25" s="475" t="s">
        <v>25</v>
      </c>
      <c r="E25" s="60">
        <v>480</v>
      </c>
      <c r="F25" s="61">
        <f>E25</f>
        <v>480</v>
      </c>
      <c r="G25" s="31">
        <v>0</v>
      </c>
      <c r="H25" s="63">
        <f t="shared" si="4"/>
        <v>0</v>
      </c>
      <c r="I25" s="34">
        <f t="shared" si="5"/>
        <v>0</v>
      </c>
    </row>
    <row r="26" spans="1:12" ht="26.25">
      <c r="A26" s="93" t="s">
        <v>19</v>
      </c>
      <c r="B26" s="59" t="s">
        <v>387</v>
      </c>
      <c r="C26" s="475" t="s">
        <v>430</v>
      </c>
      <c r="D26" s="475" t="s">
        <v>25</v>
      </c>
      <c r="E26" s="60">
        <v>0</v>
      </c>
      <c r="F26" s="61">
        <f>E26+242</f>
        <v>242</v>
      </c>
      <c r="G26" s="31">
        <v>0</v>
      </c>
      <c r="H26" s="62" t="s">
        <v>280</v>
      </c>
      <c r="I26" s="34">
        <f t="shared" si="5"/>
        <v>0</v>
      </c>
    </row>
    <row r="27" spans="1:12" ht="27" customHeight="1">
      <c r="A27" s="93" t="s">
        <v>19</v>
      </c>
      <c r="B27" s="59" t="s">
        <v>772</v>
      </c>
      <c r="C27" s="475" t="s">
        <v>826</v>
      </c>
      <c r="D27" s="475" t="s">
        <v>25</v>
      </c>
      <c r="E27" s="60">
        <v>0</v>
      </c>
      <c r="F27" s="61">
        <v>250</v>
      </c>
      <c r="G27" s="31">
        <v>0</v>
      </c>
      <c r="H27" s="62" t="s">
        <v>280</v>
      </c>
      <c r="I27" s="34">
        <f t="shared" ref="I27" si="6">(G27/F27)*100</f>
        <v>0</v>
      </c>
    </row>
    <row r="28" spans="1:12" ht="26.25">
      <c r="A28" s="93" t="s">
        <v>19</v>
      </c>
      <c r="B28" s="59" t="s">
        <v>326</v>
      </c>
      <c r="C28" s="475" t="s">
        <v>327</v>
      </c>
      <c r="D28" s="520" t="s">
        <v>25</v>
      </c>
      <c r="E28" s="60">
        <v>187</v>
      </c>
      <c r="F28" s="61">
        <f t="shared" si="3"/>
        <v>187</v>
      </c>
      <c r="G28" s="31">
        <v>0</v>
      </c>
      <c r="H28" s="63">
        <f t="shared" si="4"/>
        <v>0</v>
      </c>
      <c r="I28" s="34">
        <f t="shared" si="5"/>
        <v>0</v>
      </c>
    </row>
    <row r="29" spans="1:12">
      <c r="A29" s="93" t="s">
        <v>19</v>
      </c>
      <c r="B29" s="59" t="s">
        <v>431</v>
      </c>
      <c r="C29" s="475" t="s">
        <v>624</v>
      </c>
      <c r="D29" s="520" t="s">
        <v>25</v>
      </c>
      <c r="E29" s="60">
        <v>2000</v>
      </c>
      <c r="F29" s="61">
        <v>0</v>
      </c>
      <c r="G29" s="31">
        <v>0</v>
      </c>
      <c r="H29" s="63">
        <f t="shared" si="4"/>
        <v>0</v>
      </c>
      <c r="I29" s="64" t="s">
        <v>280</v>
      </c>
    </row>
    <row r="30" spans="1:12" ht="15.75" customHeight="1">
      <c r="A30" s="93" t="s">
        <v>19</v>
      </c>
      <c r="B30" s="59" t="s">
        <v>557</v>
      </c>
      <c r="C30" s="479" t="s">
        <v>558</v>
      </c>
      <c r="D30" s="520" t="s">
        <v>25</v>
      </c>
      <c r="E30" s="60">
        <v>0</v>
      </c>
      <c r="F30" s="61">
        <v>620</v>
      </c>
      <c r="G30" s="31">
        <v>516</v>
      </c>
      <c r="H30" s="62" t="s">
        <v>280</v>
      </c>
      <c r="I30" s="34">
        <f t="shared" ref="I30" si="7">(G30/F30)*100</f>
        <v>83.225806451612911</v>
      </c>
    </row>
    <row r="31" spans="1:12">
      <c r="A31" s="93" t="s">
        <v>19</v>
      </c>
      <c r="B31" s="59" t="s">
        <v>559</v>
      </c>
      <c r="C31" s="475" t="s">
        <v>623</v>
      </c>
      <c r="D31" s="520" t="s">
        <v>25</v>
      </c>
      <c r="E31" s="60">
        <v>0</v>
      </c>
      <c r="F31" s="61">
        <v>400</v>
      </c>
      <c r="G31" s="31">
        <v>327</v>
      </c>
      <c r="H31" s="62" t="s">
        <v>280</v>
      </c>
      <c r="I31" s="34">
        <f t="shared" si="5"/>
        <v>81.75</v>
      </c>
    </row>
    <row r="32" spans="1:12" ht="26.25" customHeight="1">
      <c r="A32" s="93" t="s">
        <v>19</v>
      </c>
      <c r="B32" s="59" t="s">
        <v>550</v>
      </c>
      <c r="C32" s="475" t="s">
        <v>551</v>
      </c>
      <c r="D32" s="520" t="s">
        <v>25</v>
      </c>
      <c r="E32" s="60">
        <v>0</v>
      </c>
      <c r="F32" s="61">
        <v>250</v>
      </c>
      <c r="G32" s="31">
        <v>0</v>
      </c>
      <c r="H32" s="62" t="s">
        <v>280</v>
      </c>
      <c r="I32" s="34">
        <f t="shared" si="5"/>
        <v>0</v>
      </c>
    </row>
    <row r="33" spans="1:9" ht="27" customHeight="1" thickBot="1">
      <c r="A33" s="937" t="s">
        <v>19</v>
      </c>
      <c r="B33" s="938" t="s">
        <v>620</v>
      </c>
      <c r="C33" s="481" t="s">
        <v>621</v>
      </c>
      <c r="D33" s="939" t="s">
        <v>25</v>
      </c>
      <c r="E33" s="367">
        <v>0</v>
      </c>
      <c r="F33" s="368">
        <v>100</v>
      </c>
      <c r="G33" s="94">
        <v>0</v>
      </c>
      <c r="H33" s="940" t="s">
        <v>280</v>
      </c>
      <c r="I33" s="95">
        <f t="shared" si="5"/>
        <v>0</v>
      </c>
    </row>
    <row r="34" spans="1:9" ht="13.5" customHeight="1">
      <c r="A34" s="521"/>
      <c r="B34" s="521"/>
      <c r="C34" s="522"/>
      <c r="D34" s="523"/>
      <c r="E34" s="96"/>
      <c r="F34" s="97"/>
      <c r="G34" s="369"/>
      <c r="H34" s="524"/>
      <c r="I34" s="98"/>
    </row>
    <row r="35" spans="1:9" ht="20.25" customHeight="1" thickBot="1">
      <c r="A35" s="521"/>
      <c r="B35" s="521"/>
      <c r="C35" s="522"/>
      <c r="D35" s="523"/>
      <c r="E35" s="96"/>
      <c r="F35" s="97"/>
      <c r="G35" s="369"/>
      <c r="H35" s="524"/>
      <c r="I35" s="6" t="s">
        <v>819</v>
      </c>
    </row>
    <row r="36" spans="1:9" ht="15" customHeight="1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</row>
    <row r="37" spans="1:9" ht="15" customHeight="1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</row>
    <row r="38" spans="1:9" ht="15" customHeight="1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</row>
    <row r="39" spans="1:9" ht="27" customHeight="1">
      <c r="A39" s="50" t="s">
        <v>320</v>
      </c>
      <c r="B39" s="51"/>
      <c r="C39" s="52"/>
      <c r="D39" s="525"/>
      <c r="E39" s="99"/>
      <c r="F39" s="100"/>
      <c r="G39" s="101"/>
      <c r="H39" s="526"/>
      <c r="I39" s="102"/>
    </row>
    <row r="40" spans="1:9" ht="26.25">
      <c r="A40" s="93" t="s">
        <v>19</v>
      </c>
      <c r="B40" s="59" t="s">
        <v>617</v>
      </c>
      <c r="C40" s="475" t="s">
        <v>622</v>
      </c>
      <c r="D40" s="520" t="s">
        <v>25</v>
      </c>
      <c r="E40" s="60">
        <v>0</v>
      </c>
      <c r="F40" s="61">
        <v>80</v>
      </c>
      <c r="G40" s="31">
        <v>79</v>
      </c>
      <c r="H40" s="62" t="s">
        <v>280</v>
      </c>
      <c r="I40" s="34">
        <f t="shared" si="5"/>
        <v>98.75</v>
      </c>
    </row>
    <row r="41" spans="1:9" ht="15" customHeight="1">
      <c r="A41" s="93" t="s">
        <v>19</v>
      </c>
      <c r="B41" s="59" t="s">
        <v>773</v>
      </c>
      <c r="C41" s="475" t="s">
        <v>774</v>
      </c>
      <c r="D41" s="520" t="s">
        <v>25</v>
      </c>
      <c r="E41" s="60">
        <v>0</v>
      </c>
      <c r="F41" s="61">
        <v>500</v>
      </c>
      <c r="G41" s="31">
        <v>0</v>
      </c>
      <c r="H41" s="62"/>
      <c r="I41" s="34">
        <f t="shared" si="5"/>
        <v>0</v>
      </c>
    </row>
    <row r="42" spans="1:9" ht="16.5" customHeight="1">
      <c r="A42" s="93" t="s">
        <v>19</v>
      </c>
      <c r="B42" s="59" t="s">
        <v>901</v>
      </c>
      <c r="C42" s="475" t="s">
        <v>552</v>
      </c>
      <c r="D42" s="520" t="s">
        <v>25</v>
      </c>
      <c r="E42" s="60">
        <v>0</v>
      </c>
      <c r="F42" s="61">
        <v>24.2</v>
      </c>
      <c r="G42" s="31">
        <v>24</v>
      </c>
      <c r="H42" s="62" t="s">
        <v>280</v>
      </c>
      <c r="I42" s="34">
        <f t="shared" si="5"/>
        <v>99.173553719008268</v>
      </c>
    </row>
    <row r="43" spans="1:9" ht="15" customHeight="1">
      <c r="A43" s="93" t="s">
        <v>19</v>
      </c>
      <c r="B43" s="59" t="s">
        <v>902</v>
      </c>
      <c r="C43" s="475" t="s">
        <v>553</v>
      </c>
      <c r="D43" s="520" t="s">
        <v>25</v>
      </c>
      <c r="E43" s="60">
        <v>0</v>
      </c>
      <c r="F43" s="61">
        <v>8000</v>
      </c>
      <c r="G43" s="31">
        <v>0</v>
      </c>
      <c r="H43" s="62" t="s">
        <v>280</v>
      </c>
      <c r="I43" s="34">
        <f t="shared" si="5"/>
        <v>0</v>
      </c>
    </row>
    <row r="44" spans="1:9" ht="15" customHeight="1">
      <c r="A44" s="93" t="s">
        <v>19</v>
      </c>
      <c r="B44" s="59" t="s">
        <v>903</v>
      </c>
      <c r="C44" s="475" t="s">
        <v>624</v>
      </c>
      <c r="D44" s="520" t="s">
        <v>25</v>
      </c>
      <c r="E44" s="60">
        <v>0</v>
      </c>
      <c r="F44" s="61">
        <v>2000</v>
      </c>
      <c r="G44" s="31">
        <v>88</v>
      </c>
      <c r="H44" s="62" t="s">
        <v>280</v>
      </c>
      <c r="I44" s="34">
        <f t="shared" si="5"/>
        <v>4.3999999999999995</v>
      </c>
    </row>
    <row r="45" spans="1:9" ht="26.25" customHeight="1">
      <c r="A45" s="527" t="s">
        <v>19</v>
      </c>
      <c r="B45" s="528" t="s">
        <v>904</v>
      </c>
      <c r="C45" s="479" t="s">
        <v>554</v>
      </c>
      <c r="D45" s="525" t="s">
        <v>25</v>
      </c>
      <c r="E45" s="99">
        <v>0</v>
      </c>
      <c r="F45" s="100">
        <v>2200</v>
      </c>
      <c r="G45" s="101">
        <v>0</v>
      </c>
      <c r="H45" s="526" t="s">
        <v>280</v>
      </c>
      <c r="I45" s="102">
        <f t="shared" ref="I45:I47" si="8">(G45/F45)*100</f>
        <v>0</v>
      </c>
    </row>
    <row r="46" spans="1:9" ht="26.25" customHeight="1">
      <c r="A46" s="93" t="s">
        <v>19</v>
      </c>
      <c r="B46" s="59" t="s">
        <v>905</v>
      </c>
      <c r="C46" s="475" t="s">
        <v>555</v>
      </c>
      <c r="D46" s="520" t="s">
        <v>25</v>
      </c>
      <c r="E46" s="60">
        <v>0</v>
      </c>
      <c r="F46" s="61">
        <v>280</v>
      </c>
      <c r="G46" s="31">
        <v>0</v>
      </c>
      <c r="H46" s="62" t="s">
        <v>280</v>
      </c>
      <c r="I46" s="34">
        <f t="shared" si="8"/>
        <v>0</v>
      </c>
    </row>
    <row r="47" spans="1:9" ht="15" customHeight="1">
      <c r="A47" s="93" t="s">
        <v>19</v>
      </c>
      <c r="B47" s="59" t="s">
        <v>906</v>
      </c>
      <c r="C47" s="475" t="s">
        <v>365</v>
      </c>
      <c r="D47" s="520" t="s">
        <v>25</v>
      </c>
      <c r="E47" s="60">
        <v>0</v>
      </c>
      <c r="F47" s="61">
        <v>1000</v>
      </c>
      <c r="G47" s="31">
        <v>49</v>
      </c>
      <c r="H47" s="62" t="s">
        <v>280</v>
      </c>
      <c r="I47" s="34">
        <f t="shared" si="8"/>
        <v>4.9000000000000004</v>
      </c>
    </row>
    <row r="48" spans="1:9" ht="26.25">
      <c r="A48" s="527" t="s">
        <v>19</v>
      </c>
      <c r="B48" s="528" t="s">
        <v>907</v>
      </c>
      <c r="C48" s="479" t="s">
        <v>556</v>
      </c>
      <c r="D48" s="525" t="s">
        <v>25</v>
      </c>
      <c r="E48" s="99">
        <v>0</v>
      </c>
      <c r="F48" s="100">
        <v>1000</v>
      </c>
      <c r="G48" s="101">
        <v>427</v>
      </c>
      <c r="H48" s="526" t="s">
        <v>280</v>
      </c>
      <c r="I48" s="102">
        <f t="shared" si="5"/>
        <v>42.699999999999996</v>
      </c>
    </row>
    <row r="49" spans="1:9" ht="27" thickBot="1">
      <c r="A49" s="529" t="s">
        <v>19</v>
      </c>
      <c r="B49" s="530" t="s">
        <v>908</v>
      </c>
      <c r="C49" s="531" t="s">
        <v>560</v>
      </c>
      <c r="D49" s="532" t="s">
        <v>25</v>
      </c>
      <c r="E49" s="293">
        <v>1098</v>
      </c>
      <c r="F49" s="533">
        <v>4069.7</v>
      </c>
      <c r="G49" s="38">
        <v>0</v>
      </c>
      <c r="H49" s="534">
        <f t="shared" ref="H49" si="9">(G49/E49)*100</f>
        <v>0</v>
      </c>
      <c r="I49" s="42">
        <f t="shared" si="5"/>
        <v>0</v>
      </c>
    </row>
    <row r="50" spans="1:9" ht="16.5" thickBot="1">
      <c r="A50" s="218" t="s">
        <v>322</v>
      </c>
      <c r="B50" s="108"/>
      <c r="C50" s="108"/>
      <c r="D50" s="108"/>
      <c r="E50" s="535">
        <f>E23</f>
        <v>3945</v>
      </c>
      <c r="F50" s="536">
        <f>F23</f>
        <v>21862.9</v>
      </c>
      <c r="G50" s="535">
        <f>G23</f>
        <v>1510</v>
      </c>
      <c r="H50" s="537">
        <f>(G50/E50)*100</f>
        <v>38.276299112801013</v>
      </c>
      <c r="I50" s="538">
        <f>G50/F50*100</f>
        <v>6.9066775221951344</v>
      </c>
    </row>
    <row r="51" spans="1:9" ht="16.5" thickBot="1">
      <c r="A51" s="68"/>
      <c r="B51" s="68"/>
      <c r="C51" s="68"/>
      <c r="D51" s="68"/>
      <c r="E51" s="68"/>
      <c r="F51" s="487"/>
      <c r="G51" s="68"/>
      <c r="H51" s="488"/>
      <c r="I51" s="488"/>
    </row>
    <row r="52" spans="1:9" ht="16.5" thickBot="1">
      <c r="A52" s="105" t="s">
        <v>909</v>
      </c>
      <c r="B52" s="106"/>
      <c r="C52" s="107"/>
      <c r="D52" s="108"/>
      <c r="E52" s="535">
        <f>E16+E50</f>
        <v>119906</v>
      </c>
      <c r="F52" s="536">
        <f>F16+F50</f>
        <v>135057.1</v>
      </c>
      <c r="G52" s="535">
        <f>G16+G50</f>
        <v>87023</v>
      </c>
      <c r="H52" s="537">
        <f>(G52/E52)*100</f>
        <v>72.576017880673191</v>
      </c>
      <c r="I52" s="539">
        <f>(G52/F52)*100</f>
        <v>64.434228189410263</v>
      </c>
    </row>
    <row r="58" spans="1:9" ht="30.75" customHeight="1"/>
    <row r="62" spans="1:9" ht="27" customHeight="1"/>
  </sheetData>
  <mergeCells count="2">
    <mergeCell ref="A16:C16"/>
    <mergeCell ref="B23:D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7"/>
  <sheetViews>
    <sheetView zoomScaleNormal="100" workbookViewId="0">
      <selection activeCell="M20" sqref="M20"/>
    </sheetView>
  </sheetViews>
  <sheetFormatPr defaultRowHeight="15"/>
  <cols>
    <col min="1" max="1" width="12.7109375" customWidth="1"/>
    <col min="2" max="2" width="14.7109375" customWidth="1"/>
    <col min="3" max="3" width="51.140625" customWidth="1"/>
    <col min="4" max="4" width="40.42578125" customWidth="1"/>
    <col min="5" max="7" width="14.7109375" customWidth="1"/>
    <col min="8" max="9" width="10.7109375" customWidth="1"/>
  </cols>
  <sheetData>
    <row r="1" spans="1:9" ht="18">
      <c r="C1" s="109"/>
    </row>
    <row r="2" spans="1:9" ht="15.75">
      <c r="A2" s="110" t="s">
        <v>27</v>
      </c>
    </row>
    <row r="3" spans="1:9" ht="16.5" thickBot="1">
      <c r="A3" s="4"/>
      <c r="B3" s="3"/>
      <c r="C3" s="4"/>
      <c r="D3" s="4"/>
      <c r="E3" s="4"/>
      <c r="H3" s="6"/>
      <c r="I3" s="6" t="s">
        <v>817</v>
      </c>
    </row>
    <row r="4" spans="1:9">
      <c r="A4" s="71" t="s">
        <v>1</v>
      </c>
      <c r="B4" s="8" t="s">
        <v>2</v>
      </c>
      <c r="C4" s="72" t="s">
        <v>3</v>
      </c>
      <c r="D4" s="8"/>
      <c r="E4" s="8" t="s">
        <v>210</v>
      </c>
      <c r="F4" s="8" t="s">
        <v>312</v>
      </c>
      <c r="G4" s="111" t="s">
        <v>314</v>
      </c>
      <c r="H4" s="8" t="s">
        <v>316</v>
      </c>
      <c r="I4" s="10" t="s">
        <v>316</v>
      </c>
    </row>
    <row r="5" spans="1:9">
      <c r="A5" s="74" t="s">
        <v>5</v>
      </c>
      <c r="B5" s="12" t="s">
        <v>6</v>
      </c>
      <c r="C5" s="75" t="s">
        <v>7</v>
      </c>
      <c r="D5" s="13" t="s">
        <v>8</v>
      </c>
      <c r="E5" s="12" t="s">
        <v>202</v>
      </c>
      <c r="F5" s="12" t="s">
        <v>319</v>
      </c>
      <c r="G5" s="112" t="s">
        <v>315</v>
      </c>
      <c r="H5" s="12" t="s">
        <v>317</v>
      </c>
      <c r="I5" s="14" t="s">
        <v>318</v>
      </c>
    </row>
    <row r="6" spans="1:9" ht="15.75" thickBot="1">
      <c r="A6" s="77" t="s">
        <v>9</v>
      </c>
      <c r="B6" s="15" t="s">
        <v>10</v>
      </c>
      <c r="C6" s="78"/>
      <c r="D6" s="49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9" ht="15.75">
      <c r="A7" s="113" t="s">
        <v>11</v>
      </c>
      <c r="B7" s="54"/>
      <c r="C7" s="52"/>
      <c r="D7" s="114"/>
      <c r="E7" s="115"/>
      <c r="F7" s="116"/>
      <c r="G7" s="115"/>
      <c r="H7" s="21"/>
      <c r="I7" s="117"/>
    </row>
    <row r="8" spans="1:9">
      <c r="A8" s="23" t="s">
        <v>28</v>
      </c>
      <c r="B8" s="118" t="s">
        <v>29</v>
      </c>
      <c r="C8" s="119"/>
      <c r="D8" s="120"/>
      <c r="E8" s="25">
        <f>SUM(E9:E13)</f>
        <v>4350</v>
      </c>
      <c r="F8" s="121">
        <f>SUM(F9:F13)</f>
        <v>4350</v>
      </c>
      <c r="G8" s="25">
        <f>SUM(G9:G13)</f>
        <v>1301</v>
      </c>
      <c r="H8" s="28">
        <f>(G8/E8)*100</f>
        <v>29.908045977011493</v>
      </c>
      <c r="I8" s="29">
        <f>(G8/F8)*100</f>
        <v>29.908045977011493</v>
      </c>
    </row>
    <row r="9" spans="1:9">
      <c r="A9" s="83"/>
      <c r="B9" s="84"/>
      <c r="C9" s="122" t="s">
        <v>23</v>
      </c>
      <c r="D9" s="123" t="s">
        <v>30</v>
      </c>
      <c r="E9" s="124">
        <v>1000</v>
      </c>
      <c r="F9" s="374">
        <v>1000</v>
      </c>
      <c r="G9" s="403">
        <v>421</v>
      </c>
      <c r="H9" s="33">
        <f>(G9/E9)*100</f>
        <v>42.1</v>
      </c>
      <c r="I9" s="34">
        <f>(G9/F9)*100</f>
        <v>42.1</v>
      </c>
    </row>
    <row r="10" spans="1:9">
      <c r="A10" s="125"/>
      <c r="B10" s="84"/>
      <c r="C10" s="126" t="s">
        <v>825</v>
      </c>
      <c r="D10" s="123" t="s">
        <v>30</v>
      </c>
      <c r="E10" s="127">
        <v>800</v>
      </c>
      <c r="F10" s="128">
        <v>800</v>
      </c>
      <c r="G10" s="404">
        <v>109</v>
      </c>
      <c r="H10" s="33">
        <f>(G10/E10)*100</f>
        <v>13.625000000000002</v>
      </c>
      <c r="I10" s="34">
        <f>(G10/F10)*100</f>
        <v>13.625000000000002</v>
      </c>
    </row>
    <row r="11" spans="1:9" ht="15" customHeight="1">
      <c r="A11" s="125"/>
      <c r="B11" s="84"/>
      <c r="C11" s="126" t="s">
        <v>242</v>
      </c>
      <c r="D11" s="375" t="s">
        <v>30</v>
      </c>
      <c r="E11" s="127">
        <v>1000</v>
      </c>
      <c r="F11" s="128">
        <v>1000</v>
      </c>
      <c r="G11" s="404">
        <v>632</v>
      </c>
      <c r="H11" s="33">
        <f t="shared" ref="H11:H12" si="0">(G11/E11)*100</f>
        <v>63.2</v>
      </c>
      <c r="I11" s="34">
        <f t="shared" ref="I11:I12" si="1">(G11/F11)*100</f>
        <v>63.2</v>
      </c>
    </row>
    <row r="12" spans="1:9" ht="15" customHeight="1">
      <c r="A12" s="125"/>
      <c r="B12" s="129"/>
      <c r="C12" s="122" t="s">
        <v>15</v>
      </c>
      <c r="D12" s="375" t="s">
        <v>30</v>
      </c>
      <c r="E12" s="127">
        <v>1400</v>
      </c>
      <c r="F12" s="128">
        <v>1400</v>
      </c>
      <c r="G12" s="404">
        <v>0</v>
      </c>
      <c r="H12" s="41">
        <f t="shared" si="0"/>
        <v>0</v>
      </c>
      <c r="I12" s="42">
        <f t="shared" si="1"/>
        <v>0</v>
      </c>
    </row>
    <row r="13" spans="1:9" ht="15" customHeight="1" thickBot="1">
      <c r="A13" s="125"/>
      <c r="B13" s="129"/>
      <c r="C13" s="130" t="s">
        <v>252</v>
      </c>
      <c r="D13" s="376" t="s">
        <v>30</v>
      </c>
      <c r="E13" s="377">
        <v>150</v>
      </c>
      <c r="F13" s="128">
        <v>150</v>
      </c>
      <c r="G13" s="377">
        <v>139</v>
      </c>
      <c r="H13" s="41">
        <f t="shared" ref="H13:H14" si="2">(G13/E13)*100</f>
        <v>92.666666666666657</v>
      </c>
      <c r="I13" s="42">
        <f t="shared" ref="I13:I14" si="3">(G13/F13)*100</f>
        <v>92.666666666666657</v>
      </c>
    </row>
    <row r="14" spans="1:9" ht="16.5" customHeight="1" thickBot="1">
      <c r="A14" s="957" t="s">
        <v>16</v>
      </c>
      <c r="B14" s="958"/>
      <c r="C14" s="959"/>
      <c r="D14" s="378"/>
      <c r="E14" s="44">
        <f>E8</f>
        <v>4350</v>
      </c>
      <c r="F14" s="372">
        <f>F8</f>
        <v>4350</v>
      </c>
      <c r="G14" s="44">
        <f>G8</f>
        <v>1301</v>
      </c>
      <c r="H14" s="540">
        <f t="shared" si="2"/>
        <v>29.908045977011493</v>
      </c>
      <c r="I14" s="541">
        <f t="shared" si="3"/>
        <v>29.908045977011493</v>
      </c>
    </row>
    <row r="15" spans="1:9" ht="25.5" customHeight="1" thickBot="1"/>
    <row r="16" spans="1:9">
      <c r="A16" s="7" t="s">
        <v>1</v>
      </c>
      <c r="B16" s="8" t="s">
        <v>2</v>
      </c>
      <c r="C16" s="45" t="s">
        <v>3</v>
      </c>
      <c r="D16" s="9"/>
      <c r="E16" s="8" t="s">
        <v>210</v>
      </c>
      <c r="F16" s="8" t="s">
        <v>312</v>
      </c>
      <c r="G16" s="111" t="s">
        <v>314</v>
      </c>
      <c r="H16" s="8" t="s">
        <v>316</v>
      </c>
      <c r="I16" s="10" t="s">
        <v>316</v>
      </c>
    </row>
    <row r="17" spans="1:9">
      <c r="A17" s="11" t="s">
        <v>5</v>
      </c>
      <c r="B17" s="12" t="s">
        <v>6</v>
      </c>
      <c r="C17" s="46" t="s">
        <v>7</v>
      </c>
      <c r="D17" s="13" t="s">
        <v>8</v>
      </c>
      <c r="E17" s="12" t="s">
        <v>202</v>
      </c>
      <c r="F17" s="12" t="s">
        <v>319</v>
      </c>
      <c r="G17" s="112" t="s">
        <v>315</v>
      </c>
      <c r="H17" s="12" t="s">
        <v>317</v>
      </c>
      <c r="I17" s="14" t="s">
        <v>318</v>
      </c>
    </row>
    <row r="18" spans="1:9" ht="15.75" thickBot="1">
      <c r="A18" s="47" t="s">
        <v>9</v>
      </c>
      <c r="B18" s="15" t="s">
        <v>10</v>
      </c>
      <c r="C18" s="48"/>
      <c r="D18" s="49"/>
      <c r="E18" s="15" t="s">
        <v>408</v>
      </c>
      <c r="F18" s="16">
        <v>46022</v>
      </c>
      <c r="G18" s="16">
        <f>F18</f>
        <v>46022</v>
      </c>
      <c r="H18" s="16" t="s">
        <v>211</v>
      </c>
      <c r="I18" s="17" t="s">
        <v>211</v>
      </c>
    </row>
    <row r="19" spans="1:9" ht="15.75">
      <c r="A19" s="50" t="s">
        <v>320</v>
      </c>
      <c r="B19" s="51"/>
      <c r="C19" s="52"/>
      <c r="D19" s="53"/>
      <c r="E19" s="54"/>
      <c r="F19" s="542"/>
      <c r="G19" s="54"/>
      <c r="H19" s="51"/>
      <c r="I19" s="55"/>
    </row>
    <row r="20" spans="1:9">
      <c r="A20" s="56" t="s">
        <v>28</v>
      </c>
      <c r="B20" s="943" t="s">
        <v>330</v>
      </c>
      <c r="C20" s="943"/>
      <c r="D20" s="943"/>
      <c r="E20" s="57">
        <f>SUM(E21:E34)</f>
        <v>27960</v>
      </c>
      <c r="F20" s="121">
        <f>SUM(F21:F34)</f>
        <v>48133.100000000006</v>
      </c>
      <c r="G20" s="57">
        <f>SUM(G21:G34)</f>
        <v>9960</v>
      </c>
      <c r="H20" s="28">
        <f t="shared" ref="H20:H27" si="4">(G20/E20)*100</f>
        <v>35.622317596566525</v>
      </c>
      <c r="I20" s="29">
        <f t="shared" ref="I20:I32" si="5">(G20/F20)*100</f>
        <v>20.692621086113299</v>
      </c>
    </row>
    <row r="21" spans="1:9">
      <c r="A21" s="93" t="s">
        <v>28</v>
      </c>
      <c r="B21" s="59" t="s">
        <v>331</v>
      </c>
      <c r="C21" s="126" t="s">
        <v>332</v>
      </c>
      <c r="D21" s="123" t="s">
        <v>30</v>
      </c>
      <c r="E21" s="127">
        <v>360</v>
      </c>
      <c r="F21" s="128">
        <v>0</v>
      </c>
      <c r="G21" s="60">
        <v>0</v>
      </c>
      <c r="H21" s="63">
        <f t="shared" ref="H21:H24" si="6">(G21/E21)*100</f>
        <v>0</v>
      </c>
      <c r="I21" s="64" t="s">
        <v>280</v>
      </c>
    </row>
    <row r="22" spans="1:9">
      <c r="A22" s="93" t="s">
        <v>28</v>
      </c>
      <c r="B22" s="59" t="s">
        <v>333</v>
      </c>
      <c r="C22" s="126" t="s">
        <v>334</v>
      </c>
      <c r="D22" s="123" t="s">
        <v>30</v>
      </c>
      <c r="E22" s="127">
        <v>900</v>
      </c>
      <c r="F22" s="128">
        <f t="shared" ref="F22:F24" si="7">E22</f>
        <v>900</v>
      </c>
      <c r="G22" s="60">
        <v>0</v>
      </c>
      <c r="H22" s="63">
        <f t="shared" si="6"/>
        <v>0</v>
      </c>
      <c r="I22" s="34">
        <f t="shared" ref="I22:I24" si="8">(G22/F22)*100</f>
        <v>0</v>
      </c>
    </row>
    <row r="23" spans="1:9">
      <c r="A23" s="93" t="s">
        <v>28</v>
      </c>
      <c r="B23" s="59" t="s">
        <v>910</v>
      </c>
      <c r="C23" s="126" t="s">
        <v>334</v>
      </c>
      <c r="D23" s="123" t="s">
        <v>30</v>
      </c>
      <c r="E23" s="127">
        <v>0</v>
      </c>
      <c r="F23" s="128">
        <v>3100</v>
      </c>
      <c r="G23" s="60">
        <v>0</v>
      </c>
      <c r="H23" s="62" t="s">
        <v>280</v>
      </c>
      <c r="I23" s="34">
        <f t="shared" si="8"/>
        <v>0</v>
      </c>
    </row>
    <row r="24" spans="1:9">
      <c r="A24" s="93" t="s">
        <v>28</v>
      </c>
      <c r="B24" s="59" t="s">
        <v>338</v>
      </c>
      <c r="C24" s="126" t="s">
        <v>339</v>
      </c>
      <c r="D24" s="123" t="s">
        <v>30</v>
      </c>
      <c r="E24" s="127">
        <v>200</v>
      </c>
      <c r="F24" s="128">
        <f t="shared" si="7"/>
        <v>200</v>
      </c>
      <c r="G24" s="60">
        <v>46</v>
      </c>
      <c r="H24" s="63">
        <f t="shared" si="6"/>
        <v>23</v>
      </c>
      <c r="I24" s="34">
        <f t="shared" si="8"/>
        <v>23</v>
      </c>
    </row>
    <row r="25" spans="1:9">
      <c r="A25" s="93" t="s">
        <v>28</v>
      </c>
      <c r="B25" s="59" t="s">
        <v>335</v>
      </c>
      <c r="C25" s="126" t="s">
        <v>336</v>
      </c>
      <c r="D25" s="123" t="s">
        <v>30</v>
      </c>
      <c r="E25" s="127">
        <v>5000</v>
      </c>
      <c r="F25" s="128">
        <v>3360</v>
      </c>
      <c r="G25" s="131">
        <v>2599</v>
      </c>
      <c r="H25" s="63">
        <f t="shared" si="4"/>
        <v>51.980000000000004</v>
      </c>
      <c r="I25" s="34">
        <f t="shared" si="5"/>
        <v>77.351190476190482</v>
      </c>
    </row>
    <row r="26" spans="1:9">
      <c r="A26" s="93" t="s">
        <v>28</v>
      </c>
      <c r="B26" s="59" t="s">
        <v>381</v>
      </c>
      <c r="C26" s="126" t="s">
        <v>432</v>
      </c>
      <c r="D26" s="123" t="s">
        <v>30</v>
      </c>
      <c r="E26" s="127">
        <v>1000</v>
      </c>
      <c r="F26" s="128">
        <v>0</v>
      </c>
      <c r="G26" s="865">
        <v>0</v>
      </c>
      <c r="H26" s="63">
        <f t="shared" si="4"/>
        <v>0</v>
      </c>
      <c r="I26" s="64" t="s">
        <v>280</v>
      </c>
    </row>
    <row r="27" spans="1:9">
      <c r="A27" s="93" t="s">
        <v>28</v>
      </c>
      <c r="B27" s="59" t="s">
        <v>382</v>
      </c>
      <c r="C27" s="126" t="s">
        <v>433</v>
      </c>
      <c r="D27" s="123" t="s">
        <v>30</v>
      </c>
      <c r="E27" s="127">
        <v>1000</v>
      </c>
      <c r="F27" s="128">
        <v>0</v>
      </c>
      <c r="G27" s="865">
        <v>0</v>
      </c>
      <c r="H27" s="63">
        <f t="shared" si="4"/>
        <v>0</v>
      </c>
      <c r="I27" s="64" t="s">
        <v>280</v>
      </c>
    </row>
    <row r="28" spans="1:9">
      <c r="A28" s="93" t="s">
        <v>28</v>
      </c>
      <c r="B28" s="59" t="s">
        <v>383</v>
      </c>
      <c r="C28" s="126" t="s">
        <v>380</v>
      </c>
      <c r="D28" s="123" t="s">
        <v>30</v>
      </c>
      <c r="E28" s="127">
        <v>2000</v>
      </c>
      <c r="F28" s="128">
        <v>50</v>
      </c>
      <c r="G28" s="865">
        <v>0</v>
      </c>
      <c r="H28" s="63">
        <f t="shared" ref="H28" si="9">(G28/E28)*100</f>
        <v>0</v>
      </c>
      <c r="I28" s="34">
        <f t="shared" ref="I28:I29" si="10">(G28/F28)*100</f>
        <v>0</v>
      </c>
    </row>
    <row r="29" spans="1:9">
      <c r="A29" s="93" t="s">
        <v>28</v>
      </c>
      <c r="B29" s="59" t="s">
        <v>911</v>
      </c>
      <c r="C29" s="126" t="s">
        <v>340</v>
      </c>
      <c r="D29" s="123" t="s">
        <v>30</v>
      </c>
      <c r="E29" s="127">
        <v>0</v>
      </c>
      <c r="F29" s="128">
        <v>7167.4</v>
      </c>
      <c r="G29" s="865">
        <v>7152</v>
      </c>
      <c r="H29" s="62" t="s">
        <v>280</v>
      </c>
      <c r="I29" s="34">
        <f t="shared" si="10"/>
        <v>99.785138264921741</v>
      </c>
    </row>
    <row r="30" spans="1:9">
      <c r="A30" s="93" t="s">
        <v>28</v>
      </c>
      <c r="B30" s="59" t="s">
        <v>384</v>
      </c>
      <c r="C30" s="126" t="s">
        <v>341</v>
      </c>
      <c r="D30" s="123" t="s">
        <v>30</v>
      </c>
      <c r="E30" s="127">
        <v>2000</v>
      </c>
      <c r="F30" s="128">
        <v>1363</v>
      </c>
      <c r="G30" s="865">
        <v>0</v>
      </c>
      <c r="H30" s="63">
        <f>(G30/E30)*100</f>
        <v>0</v>
      </c>
      <c r="I30" s="34">
        <f t="shared" si="5"/>
        <v>0</v>
      </c>
    </row>
    <row r="31" spans="1:9">
      <c r="A31" s="93" t="s">
        <v>28</v>
      </c>
      <c r="B31" s="59" t="s">
        <v>434</v>
      </c>
      <c r="C31" s="126" t="s">
        <v>435</v>
      </c>
      <c r="D31" s="123" t="s">
        <v>30</v>
      </c>
      <c r="E31" s="127">
        <v>1000</v>
      </c>
      <c r="F31" s="128">
        <v>0</v>
      </c>
      <c r="G31" s="865">
        <v>0</v>
      </c>
      <c r="H31" s="63">
        <f>(G31/E31)*100</f>
        <v>0</v>
      </c>
      <c r="I31" s="64" t="s">
        <v>280</v>
      </c>
    </row>
    <row r="32" spans="1:9">
      <c r="A32" s="93" t="s">
        <v>28</v>
      </c>
      <c r="B32" s="59" t="s">
        <v>438</v>
      </c>
      <c r="C32" s="126" t="s">
        <v>439</v>
      </c>
      <c r="D32" s="123" t="s">
        <v>30</v>
      </c>
      <c r="E32" s="127">
        <v>10000</v>
      </c>
      <c r="F32" s="128">
        <v>500</v>
      </c>
      <c r="G32" s="865">
        <v>0</v>
      </c>
      <c r="H32" s="63">
        <f>(G32/E32)*100</f>
        <v>0</v>
      </c>
      <c r="I32" s="34">
        <f t="shared" si="5"/>
        <v>0</v>
      </c>
    </row>
    <row r="33" spans="1:9">
      <c r="A33" s="93" t="s">
        <v>28</v>
      </c>
      <c r="B33" s="59" t="s">
        <v>436</v>
      </c>
      <c r="C33" s="126" t="s">
        <v>437</v>
      </c>
      <c r="D33" s="123" t="s">
        <v>30</v>
      </c>
      <c r="E33" s="124">
        <v>4500</v>
      </c>
      <c r="F33" s="132">
        <v>2500</v>
      </c>
      <c r="G33" s="865">
        <v>0</v>
      </c>
      <c r="H33" s="63">
        <f>(G33/E33)*100</f>
        <v>0</v>
      </c>
      <c r="I33" s="34">
        <f t="shared" ref="I33" si="11">(G33/F33)*100</f>
        <v>0</v>
      </c>
    </row>
    <row r="34" spans="1:9">
      <c r="A34" s="93" t="s">
        <v>28</v>
      </c>
      <c r="B34" s="59" t="s">
        <v>912</v>
      </c>
      <c r="C34" s="126" t="s">
        <v>561</v>
      </c>
      <c r="D34" s="123" t="s">
        <v>30</v>
      </c>
      <c r="E34" s="867">
        <v>0</v>
      </c>
      <c r="F34" s="868">
        <v>28992.7</v>
      </c>
      <c r="G34" s="869">
        <v>163</v>
      </c>
      <c r="H34" s="62" t="s">
        <v>280</v>
      </c>
      <c r="I34" s="34">
        <f t="shared" ref="I34" si="12">(G34/F34)*100</f>
        <v>0.56221048746753488</v>
      </c>
    </row>
    <row r="35" spans="1:9" ht="16.5" thickBot="1">
      <c r="A35" s="103" t="s">
        <v>322</v>
      </c>
      <c r="B35" s="104"/>
      <c r="C35" s="104"/>
      <c r="D35" s="68"/>
      <c r="E35" s="543">
        <f>E20</f>
        <v>27960</v>
      </c>
      <c r="F35" s="544">
        <f>F20</f>
        <v>48133.100000000006</v>
      </c>
      <c r="G35" s="543">
        <f>G20</f>
        <v>9960</v>
      </c>
      <c r="H35" s="545">
        <f>(G35/E35)*100</f>
        <v>35.622317596566525</v>
      </c>
      <c r="I35" s="546">
        <f>G35/F35*100</f>
        <v>20.692621086113299</v>
      </c>
    </row>
    <row r="36" spans="1:9" ht="16.5" thickBot="1">
      <c r="A36" s="68"/>
      <c r="B36" s="68"/>
      <c r="C36" s="68"/>
      <c r="D36" s="108"/>
      <c r="E36" s="68"/>
      <c r="F36" s="487"/>
      <c r="G36" s="68"/>
      <c r="H36" s="488"/>
      <c r="I36" s="488"/>
    </row>
    <row r="37" spans="1:9" ht="16.5" thickBot="1">
      <c r="A37" s="105" t="s">
        <v>337</v>
      </c>
      <c r="B37" s="106"/>
      <c r="C37" s="107"/>
      <c r="D37" s="394"/>
      <c r="E37" s="535">
        <f>E14+E35</f>
        <v>32310</v>
      </c>
      <c r="F37" s="536">
        <f>F14+F35</f>
        <v>52483.100000000006</v>
      </c>
      <c r="G37" s="535">
        <f>G14+G35</f>
        <v>11261</v>
      </c>
      <c r="H37" s="537">
        <f>(G37/E37)*100</f>
        <v>34.8529866914268</v>
      </c>
      <c r="I37" s="539">
        <f>(G37/F37)*100</f>
        <v>21.456430736751447</v>
      </c>
    </row>
  </sheetData>
  <mergeCells count="2">
    <mergeCell ref="A14:C14"/>
    <mergeCell ref="B20:D20"/>
  </mergeCells>
  <printOptions horizontalCentered="1"/>
  <pageMargins left="0.70866141732283472" right="0" top="0.39370078740157483" bottom="0.39370078740157483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AA08-6B48-4373-8B6E-0A451ECE4A4B}">
  <dimension ref="A2:O382"/>
  <sheetViews>
    <sheetView zoomScaleNormal="100" workbookViewId="0">
      <selection activeCell="N183" sqref="N183"/>
    </sheetView>
  </sheetViews>
  <sheetFormatPr defaultRowHeight="15"/>
  <cols>
    <col min="1" max="2" width="12.7109375" customWidth="1"/>
    <col min="3" max="3" width="56" customWidth="1"/>
    <col min="4" max="4" width="37.42578125" customWidth="1"/>
    <col min="5" max="5" width="12" customWidth="1"/>
    <col min="6" max="6" width="14.7109375" customWidth="1"/>
    <col min="7" max="7" width="11.42578125" customWidth="1"/>
    <col min="8" max="8" width="10.28515625" customWidth="1"/>
    <col min="9" max="9" width="9.140625" hidden="1" customWidth="1"/>
    <col min="10" max="10" width="22.85546875" hidden="1" customWidth="1"/>
    <col min="12" max="12" width="10.7109375" customWidth="1"/>
    <col min="13" max="13" width="13.28515625" customWidth="1"/>
    <col min="14" max="14" width="15.28515625" style="133" customWidth="1"/>
    <col min="15" max="15" width="42.42578125" customWidth="1"/>
  </cols>
  <sheetData>
    <row r="2" spans="1:13" ht="15.75">
      <c r="A2" s="445" t="s">
        <v>31</v>
      </c>
      <c r="B2" s="547"/>
      <c r="C2" s="547"/>
      <c r="D2" s="547"/>
    </row>
    <row r="3" spans="1:13" ht="16.5" thickBot="1">
      <c r="A3" s="134"/>
      <c r="B3" s="445"/>
      <c r="C3" s="134"/>
      <c r="D3" s="134"/>
      <c r="G3" s="6"/>
      <c r="K3" s="6" t="s">
        <v>810</v>
      </c>
    </row>
    <row r="4" spans="1:13">
      <c r="A4" s="135" t="s">
        <v>1</v>
      </c>
      <c r="B4" s="136" t="s">
        <v>2</v>
      </c>
      <c r="C4" s="137" t="s">
        <v>3</v>
      </c>
      <c r="D4" s="138"/>
      <c r="E4" s="8" t="s">
        <v>210</v>
      </c>
      <c r="F4" s="8" t="s">
        <v>312</v>
      </c>
      <c r="G4" s="111" t="s">
        <v>314</v>
      </c>
      <c r="H4" s="111" t="s">
        <v>316</v>
      </c>
      <c r="I4" s="139" t="s">
        <v>316</v>
      </c>
      <c r="J4" s="512"/>
      <c r="K4" s="139" t="s">
        <v>316</v>
      </c>
    </row>
    <row r="5" spans="1:13">
      <c r="A5" s="140" t="s">
        <v>5</v>
      </c>
      <c r="B5" s="141" t="s">
        <v>6</v>
      </c>
      <c r="C5" s="142" t="s">
        <v>7</v>
      </c>
      <c r="D5" s="143" t="s">
        <v>8</v>
      </c>
      <c r="E5" s="12" t="s">
        <v>202</v>
      </c>
      <c r="F5" s="12" t="s">
        <v>319</v>
      </c>
      <c r="G5" s="112" t="s">
        <v>315</v>
      </c>
      <c r="H5" s="112" t="s">
        <v>317</v>
      </c>
      <c r="I5" s="144" t="s">
        <v>318</v>
      </c>
      <c r="K5" s="144" t="s">
        <v>318</v>
      </c>
    </row>
    <row r="6" spans="1:13" ht="15.75" thickBot="1">
      <c r="A6" s="145" t="s">
        <v>9</v>
      </c>
      <c r="B6" s="146" t="s">
        <v>10</v>
      </c>
      <c r="C6" s="147"/>
      <c r="D6" s="148"/>
      <c r="E6" s="15" t="s">
        <v>408</v>
      </c>
      <c r="F6" s="16">
        <v>46022</v>
      </c>
      <c r="G6" s="16">
        <f>F6</f>
        <v>46022</v>
      </c>
      <c r="H6" s="548" t="s">
        <v>211</v>
      </c>
      <c r="I6" s="549" t="s">
        <v>211</v>
      </c>
      <c r="K6" s="549" t="s">
        <v>211</v>
      </c>
    </row>
    <row r="7" spans="1:13" ht="14.1" customHeight="1">
      <c r="A7" s="550" t="s">
        <v>11</v>
      </c>
      <c r="B7" s="551"/>
      <c r="C7" s="551"/>
      <c r="D7" s="552"/>
      <c r="E7" s="553"/>
      <c r="F7" s="553"/>
      <c r="G7" s="554"/>
      <c r="H7" s="554"/>
      <c r="I7" s="555"/>
      <c r="K7" s="117"/>
    </row>
    <row r="8" spans="1:13" ht="14.1" customHeight="1">
      <c r="A8" s="36" t="s">
        <v>32</v>
      </c>
      <c r="B8" s="446" t="s">
        <v>33</v>
      </c>
      <c r="C8" s="149"/>
      <c r="D8" s="556"/>
      <c r="E8" s="461">
        <f>E9+E72+E159+E165</f>
        <v>222556</v>
      </c>
      <c r="F8" s="462">
        <f>F9+F72+F159+F165</f>
        <v>295958</v>
      </c>
      <c r="G8" s="462">
        <f>G9+G72+G159+G165</f>
        <v>295930.41099999996</v>
      </c>
      <c r="H8" s="557">
        <f>G8/E8*100</f>
        <v>132.96896556372326</v>
      </c>
      <c r="I8" s="557"/>
      <c r="J8" s="557"/>
      <c r="K8" s="503">
        <f>G8/F8*100</f>
        <v>99.990678069185478</v>
      </c>
    </row>
    <row r="9" spans="1:13" ht="14.1" customHeight="1">
      <c r="A9" s="558"/>
      <c r="B9" s="559"/>
      <c r="C9" s="560" t="s">
        <v>34</v>
      </c>
      <c r="D9" s="464"/>
      <c r="E9" s="25">
        <f>E10+E15+E18+E21+E24+E27+E30+E33+E36+E39+E42+E45+E48+E55+E58+E62+E65+E69</f>
        <v>41847</v>
      </c>
      <c r="F9" s="26">
        <f>F10+F15+F18+F21+F24+F27+F30+F33+F36+F39+F42+F45+F48+F55+F58+F62+F65+F69</f>
        <v>58127.799999999988</v>
      </c>
      <c r="G9" s="25">
        <f>G10+G15+G18+G21+G24+G27+G30+G33+G36+G39+G42+G45+G48+G55+G58+G62+G65+G69</f>
        <v>58128</v>
      </c>
      <c r="H9" s="557">
        <f t="shared" ref="H9:H50" si="0">G9/E9*100</f>
        <v>138.90601476808374</v>
      </c>
      <c r="I9" s="557"/>
      <c r="J9" s="557"/>
      <c r="K9" s="503">
        <f t="shared" ref="K9:K50" si="1">G9/F9*100</f>
        <v>100.000344069447</v>
      </c>
      <c r="M9" s="133"/>
    </row>
    <row r="10" spans="1:13" ht="14.1" customHeight="1">
      <c r="A10" s="83"/>
      <c r="B10" s="561" t="s">
        <v>35</v>
      </c>
      <c r="C10" s="562" t="s">
        <v>232</v>
      </c>
      <c r="D10" s="81" t="s">
        <v>36</v>
      </c>
      <c r="E10" s="563">
        <v>5490</v>
      </c>
      <c r="F10" s="564">
        <f>5872+526</f>
        <v>6398</v>
      </c>
      <c r="G10" s="565">
        <f>5872+526</f>
        <v>6398</v>
      </c>
      <c r="H10" s="566">
        <f t="shared" si="0"/>
        <v>116.5391621129326</v>
      </c>
      <c r="I10" s="566"/>
      <c r="J10" s="566"/>
      <c r="K10" s="507">
        <f t="shared" si="1"/>
        <v>100</v>
      </c>
    </row>
    <row r="11" spans="1:13" ht="13.5" customHeight="1">
      <c r="A11" s="83"/>
      <c r="B11" s="561"/>
      <c r="C11" s="567" t="s">
        <v>293</v>
      </c>
      <c r="D11" s="81"/>
      <c r="E11" s="568">
        <v>2440</v>
      </c>
      <c r="F11" s="569">
        <v>2440</v>
      </c>
      <c r="G11" s="570">
        <f>F11</f>
        <v>2440</v>
      </c>
      <c r="H11" s="566">
        <f t="shared" si="0"/>
        <v>100</v>
      </c>
      <c r="I11" s="566"/>
      <c r="J11" s="566"/>
      <c r="K11" s="507">
        <f t="shared" si="1"/>
        <v>100</v>
      </c>
      <c r="M11" s="133"/>
    </row>
    <row r="12" spans="1:13" ht="14.1" customHeight="1">
      <c r="A12" s="83"/>
      <c r="B12" s="561"/>
      <c r="C12" s="567" t="s">
        <v>224</v>
      </c>
      <c r="D12" s="81"/>
      <c r="E12" s="568">
        <v>1800</v>
      </c>
      <c r="F12" s="569">
        <v>1800</v>
      </c>
      <c r="G12" s="570">
        <f t="shared" ref="G12:G14" si="2">F12</f>
        <v>1800</v>
      </c>
      <c r="H12" s="566">
        <f t="shared" si="0"/>
        <v>100</v>
      </c>
      <c r="I12" s="566"/>
      <c r="J12" s="566"/>
      <c r="K12" s="507">
        <f t="shared" si="1"/>
        <v>100</v>
      </c>
    </row>
    <row r="13" spans="1:13" ht="14.1" customHeight="1">
      <c r="A13" s="83"/>
      <c r="B13" s="561"/>
      <c r="C13" s="567" t="s">
        <v>271</v>
      </c>
      <c r="D13" s="81"/>
      <c r="E13" s="568">
        <v>150</v>
      </c>
      <c r="F13" s="569">
        <v>150</v>
      </c>
      <c r="G13" s="570">
        <f t="shared" si="2"/>
        <v>150</v>
      </c>
      <c r="H13" s="566">
        <f t="shared" si="0"/>
        <v>100</v>
      </c>
      <c r="I13" s="566"/>
      <c r="J13" s="566"/>
      <c r="K13" s="507">
        <f t="shared" si="1"/>
        <v>100</v>
      </c>
    </row>
    <row r="14" spans="1:13" ht="14.1" customHeight="1">
      <c r="A14" s="83"/>
      <c r="B14" s="561"/>
      <c r="C14" s="567" t="s">
        <v>235</v>
      </c>
      <c r="D14" s="81"/>
      <c r="E14" s="568">
        <v>220</v>
      </c>
      <c r="F14" s="569">
        <v>220</v>
      </c>
      <c r="G14" s="570">
        <f t="shared" si="2"/>
        <v>220</v>
      </c>
      <c r="H14" s="566">
        <f t="shared" si="0"/>
        <v>100</v>
      </c>
      <c r="I14" s="566"/>
      <c r="J14" s="566"/>
      <c r="K14" s="507">
        <f t="shared" si="1"/>
        <v>100</v>
      </c>
    </row>
    <row r="15" spans="1:13" ht="14.1" customHeight="1">
      <c r="A15" s="83"/>
      <c r="B15" s="561" t="s">
        <v>37</v>
      </c>
      <c r="C15" s="562" t="s">
        <v>38</v>
      </c>
      <c r="D15" s="81" t="s">
        <v>36</v>
      </c>
      <c r="E15" s="563">
        <v>1611</v>
      </c>
      <c r="F15" s="564">
        <f>2106.7+458.6</f>
        <v>2565.2999999999997</v>
      </c>
      <c r="G15" s="565">
        <f>2107+459</f>
        <v>2566</v>
      </c>
      <c r="H15" s="566">
        <f t="shared" si="0"/>
        <v>159.27995034140287</v>
      </c>
      <c r="I15" s="566"/>
      <c r="J15" s="566"/>
      <c r="K15" s="507">
        <f t="shared" si="1"/>
        <v>100.02728725685105</v>
      </c>
    </row>
    <row r="16" spans="1:13" ht="14.1" customHeight="1">
      <c r="A16" s="83"/>
      <c r="B16" s="561"/>
      <c r="C16" s="567" t="s">
        <v>293</v>
      </c>
      <c r="D16" s="81"/>
      <c r="E16" s="571">
        <v>1077</v>
      </c>
      <c r="F16" s="572">
        <v>1077</v>
      </c>
      <c r="G16" s="570">
        <f>F16</f>
        <v>1077</v>
      </c>
      <c r="H16" s="566">
        <f t="shared" si="0"/>
        <v>100</v>
      </c>
      <c r="I16" s="566"/>
      <c r="J16" s="566"/>
      <c r="K16" s="507">
        <f t="shared" si="1"/>
        <v>100</v>
      </c>
    </row>
    <row r="17" spans="1:11" ht="14.1" customHeight="1">
      <c r="A17" s="83"/>
      <c r="B17" s="561"/>
      <c r="C17" s="567" t="s">
        <v>235</v>
      </c>
      <c r="D17" s="81"/>
      <c r="E17" s="571">
        <v>9.6999999999999993</v>
      </c>
      <c r="F17" s="572">
        <v>10.4</v>
      </c>
      <c r="G17" s="570">
        <f>F17</f>
        <v>10.4</v>
      </c>
      <c r="H17" s="566">
        <f t="shared" si="0"/>
        <v>107.21649484536084</v>
      </c>
      <c r="I17" s="566"/>
      <c r="J17" s="566"/>
      <c r="K17" s="507">
        <f t="shared" si="1"/>
        <v>100</v>
      </c>
    </row>
    <row r="18" spans="1:11" ht="14.1" customHeight="1">
      <c r="A18" s="83"/>
      <c r="B18" s="561" t="s">
        <v>39</v>
      </c>
      <c r="C18" s="562" t="s">
        <v>40</v>
      </c>
      <c r="D18" s="81" t="s">
        <v>36</v>
      </c>
      <c r="E18" s="563">
        <v>2692</v>
      </c>
      <c r="F18" s="564">
        <f>3431.8+5.1+564</f>
        <v>4000.9</v>
      </c>
      <c r="G18" s="565">
        <f>3432+5+564</f>
        <v>4001</v>
      </c>
      <c r="H18" s="566">
        <f t="shared" si="0"/>
        <v>148.62555720653791</v>
      </c>
      <c r="I18" s="566"/>
      <c r="J18" s="566"/>
      <c r="K18" s="507">
        <f t="shared" si="1"/>
        <v>100.00249943762654</v>
      </c>
    </row>
    <row r="19" spans="1:11" ht="14.1" customHeight="1">
      <c r="A19" s="83"/>
      <c r="B19" s="561"/>
      <c r="C19" s="567" t="s">
        <v>293</v>
      </c>
      <c r="D19" s="81"/>
      <c r="E19" s="571">
        <v>1664.6</v>
      </c>
      <c r="F19" s="572">
        <v>1665</v>
      </c>
      <c r="G19" s="570">
        <f>F19</f>
        <v>1665</v>
      </c>
      <c r="H19" s="566">
        <f t="shared" si="0"/>
        <v>100.02402979694823</v>
      </c>
      <c r="I19" s="566"/>
      <c r="J19" s="566"/>
      <c r="K19" s="507">
        <f t="shared" si="1"/>
        <v>100</v>
      </c>
    </row>
    <row r="20" spans="1:11" ht="14.1" customHeight="1">
      <c r="A20" s="83"/>
      <c r="B20" s="561"/>
      <c r="C20" s="567" t="s">
        <v>235</v>
      </c>
      <c r="D20" s="81"/>
      <c r="E20" s="571">
        <v>147.4</v>
      </c>
      <c r="F20" s="572">
        <v>155.19999999999999</v>
      </c>
      <c r="G20" s="570">
        <f>F20</f>
        <v>155.19999999999999</v>
      </c>
      <c r="H20" s="566">
        <f t="shared" si="0"/>
        <v>105.29172320217096</v>
      </c>
      <c r="I20" s="566"/>
      <c r="J20" s="566"/>
      <c r="K20" s="507">
        <f t="shared" si="1"/>
        <v>100</v>
      </c>
    </row>
    <row r="21" spans="1:11" ht="14.1" customHeight="1">
      <c r="A21" s="83"/>
      <c r="B21" s="561" t="s">
        <v>41</v>
      </c>
      <c r="C21" s="562" t="s">
        <v>42</v>
      </c>
      <c r="D21" s="81" t="s">
        <v>36</v>
      </c>
      <c r="E21" s="563">
        <v>1970</v>
      </c>
      <c r="F21" s="564">
        <f>2254.8</f>
        <v>2254.8000000000002</v>
      </c>
      <c r="G21" s="573">
        <v>2255</v>
      </c>
      <c r="H21" s="566">
        <f t="shared" si="0"/>
        <v>114.46700507614213</v>
      </c>
      <c r="I21" s="566"/>
      <c r="J21" s="566"/>
      <c r="K21" s="507">
        <f t="shared" si="1"/>
        <v>100.00886996629413</v>
      </c>
    </row>
    <row r="22" spans="1:11" ht="14.1" customHeight="1">
      <c r="A22" s="83"/>
      <c r="B22" s="561"/>
      <c r="C22" s="567" t="s">
        <v>293</v>
      </c>
      <c r="D22" s="81"/>
      <c r="E22" s="571">
        <v>1335.5</v>
      </c>
      <c r="F22" s="572">
        <v>1336</v>
      </c>
      <c r="G22" s="574">
        <f>F22</f>
        <v>1336</v>
      </c>
      <c r="H22" s="566">
        <f t="shared" si="0"/>
        <v>100.03743916136278</v>
      </c>
      <c r="I22" s="566"/>
      <c r="J22" s="566"/>
      <c r="K22" s="507">
        <f t="shared" si="1"/>
        <v>100</v>
      </c>
    </row>
    <row r="23" spans="1:11" ht="14.1" customHeight="1">
      <c r="A23" s="83"/>
      <c r="B23" s="561"/>
      <c r="C23" s="567" t="s">
        <v>235</v>
      </c>
      <c r="D23" s="81"/>
      <c r="E23" s="571">
        <v>52.5</v>
      </c>
      <c r="F23" s="572">
        <v>54</v>
      </c>
      <c r="G23" s="574">
        <f>F23</f>
        <v>54</v>
      </c>
      <c r="H23" s="566">
        <f t="shared" si="0"/>
        <v>102.85714285714285</v>
      </c>
      <c r="I23" s="566"/>
      <c r="J23" s="566"/>
      <c r="K23" s="507">
        <f t="shared" si="1"/>
        <v>100</v>
      </c>
    </row>
    <row r="24" spans="1:11" ht="14.1" customHeight="1">
      <c r="A24" s="83"/>
      <c r="B24" s="561" t="s">
        <v>43</v>
      </c>
      <c r="C24" s="562" t="s">
        <v>44</v>
      </c>
      <c r="D24" s="81" t="s">
        <v>36</v>
      </c>
      <c r="E24" s="563">
        <v>2199</v>
      </c>
      <c r="F24" s="564">
        <f>2514.8</f>
        <v>2514.8000000000002</v>
      </c>
      <c r="G24" s="573">
        <v>2515</v>
      </c>
      <c r="H24" s="566">
        <f t="shared" si="0"/>
        <v>114.37016825829922</v>
      </c>
      <c r="I24" s="566"/>
      <c r="J24" s="566"/>
      <c r="K24" s="507">
        <f t="shared" si="1"/>
        <v>100.00795291872116</v>
      </c>
    </row>
    <row r="25" spans="1:11" ht="14.1" customHeight="1">
      <c r="A25" s="83"/>
      <c r="B25" s="561"/>
      <c r="C25" s="567" t="s">
        <v>293</v>
      </c>
      <c r="D25" s="81"/>
      <c r="E25" s="571">
        <v>1698</v>
      </c>
      <c r="F25" s="572">
        <v>1698</v>
      </c>
      <c r="G25" s="574">
        <f>F25</f>
        <v>1698</v>
      </c>
      <c r="H25" s="566">
        <f t="shared" si="0"/>
        <v>100</v>
      </c>
      <c r="I25" s="566"/>
      <c r="J25" s="566"/>
      <c r="K25" s="507">
        <f t="shared" si="1"/>
        <v>100</v>
      </c>
    </row>
    <row r="26" spans="1:11" ht="14.1" customHeight="1">
      <c r="A26" s="83"/>
      <c r="B26" s="561"/>
      <c r="C26" s="567" t="s">
        <v>235</v>
      </c>
      <c r="D26" s="81"/>
      <c r="E26" s="571">
        <v>32.700000000000003</v>
      </c>
      <c r="F26" s="572">
        <v>32.700000000000003</v>
      </c>
      <c r="G26" s="574">
        <f>F26</f>
        <v>32.700000000000003</v>
      </c>
      <c r="H26" s="566">
        <f t="shared" si="0"/>
        <v>100</v>
      </c>
      <c r="I26" s="566"/>
      <c r="J26" s="566"/>
      <c r="K26" s="507">
        <f t="shared" si="1"/>
        <v>100</v>
      </c>
    </row>
    <row r="27" spans="1:11" ht="14.1" customHeight="1">
      <c r="A27" s="83"/>
      <c r="B27" s="561" t="s">
        <v>45</v>
      </c>
      <c r="C27" s="562" t="s">
        <v>46</v>
      </c>
      <c r="D27" s="81" t="s">
        <v>36</v>
      </c>
      <c r="E27" s="563">
        <v>1633</v>
      </c>
      <c r="F27" s="564">
        <f>2018.4+414.7</f>
        <v>2433.1</v>
      </c>
      <c r="G27" s="573">
        <f>2018+415</f>
        <v>2433</v>
      </c>
      <c r="H27" s="566">
        <f t="shared" si="0"/>
        <v>148.98958971218616</v>
      </c>
      <c r="I27" s="566"/>
      <c r="J27" s="566"/>
      <c r="K27" s="507">
        <f t="shared" si="1"/>
        <v>99.995890016850936</v>
      </c>
    </row>
    <row r="28" spans="1:11" ht="14.1" customHeight="1">
      <c r="A28" s="83"/>
      <c r="B28" s="561"/>
      <c r="C28" s="567" t="s">
        <v>293</v>
      </c>
      <c r="D28" s="81"/>
      <c r="E28" s="571">
        <v>1076</v>
      </c>
      <c r="F28" s="572">
        <v>1076</v>
      </c>
      <c r="G28" s="570">
        <f>F28</f>
        <v>1076</v>
      </c>
      <c r="H28" s="566">
        <f t="shared" si="0"/>
        <v>100</v>
      </c>
      <c r="I28" s="566"/>
      <c r="J28" s="566"/>
      <c r="K28" s="507">
        <f t="shared" si="1"/>
        <v>100</v>
      </c>
    </row>
    <row r="29" spans="1:11" ht="14.1" customHeight="1">
      <c r="A29" s="83"/>
      <c r="B29" s="561"/>
      <c r="C29" s="567" t="s">
        <v>235</v>
      </c>
      <c r="D29" s="81"/>
      <c r="E29" s="571">
        <v>66</v>
      </c>
      <c r="F29" s="572">
        <v>59.7</v>
      </c>
      <c r="G29" s="570">
        <f>F29</f>
        <v>59.7</v>
      </c>
      <c r="H29" s="566">
        <f t="shared" si="0"/>
        <v>90.454545454545453</v>
      </c>
      <c r="I29" s="566"/>
      <c r="J29" s="566"/>
      <c r="K29" s="507">
        <f t="shared" si="1"/>
        <v>100</v>
      </c>
    </row>
    <row r="30" spans="1:11" ht="14.1" customHeight="1">
      <c r="A30" s="83"/>
      <c r="B30" s="561" t="s">
        <v>47</v>
      </c>
      <c r="C30" s="562" t="s">
        <v>48</v>
      </c>
      <c r="D30" s="81" t="s">
        <v>36</v>
      </c>
      <c r="E30" s="563">
        <v>2678</v>
      </c>
      <c r="F30" s="564">
        <f>3320.8+554.2</f>
        <v>3875</v>
      </c>
      <c r="G30" s="565">
        <f>3321+554</f>
        <v>3875</v>
      </c>
      <c r="H30" s="566">
        <f t="shared" si="0"/>
        <v>144.69753547423448</v>
      </c>
      <c r="I30" s="566"/>
      <c r="J30" s="566"/>
      <c r="K30" s="507">
        <f t="shared" si="1"/>
        <v>100</v>
      </c>
    </row>
    <row r="31" spans="1:11" ht="14.1" customHeight="1">
      <c r="A31" s="83"/>
      <c r="B31" s="561"/>
      <c r="C31" s="567" t="s">
        <v>293</v>
      </c>
      <c r="D31" s="81"/>
      <c r="E31" s="571">
        <v>1639</v>
      </c>
      <c r="F31" s="572">
        <v>1717</v>
      </c>
      <c r="G31" s="570">
        <f>F31</f>
        <v>1717</v>
      </c>
      <c r="H31" s="566">
        <f t="shared" si="0"/>
        <v>104.75899938987187</v>
      </c>
      <c r="I31" s="566"/>
      <c r="J31" s="566"/>
      <c r="K31" s="507">
        <f t="shared" si="1"/>
        <v>100</v>
      </c>
    </row>
    <row r="32" spans="1:11" ht="14.1" customHeight="1">
      <c r="A32" s="83"/>
      <c r="B32" s="561"/>
      <c r="C32" s="567" t="s">
        <v>235</v>
      </c>
      <c r="D32" s="81"/>
      <c r="E32" s="571">
        <v>140.6</v>
      </c>
      <c r="F32" s="572">
        <v>143.4</v>
      </c>
      <c r="G32" s="570">
        <f>F32</f>
        <v>143.4</v>
      </c>
      <c r="H32" s="566">
        <f t="shared" si="0"/>
        <v>101.99146514935988</v>
      </c>
      <c r="I32" s="566"/>
      <c r="J32" s="566"/>
      <c r="K32" s="507">
        <f t="shared" si="1"/>
        <v>100</v>
      </c>
    </row>
    <row r="33" spans="1:11" ht="14.1" customHeight="1">
      <c r="A33" s="83"/>
      <c r="B33" s="561" t="s">
        <v>49</v>
      </c>
      <c r="C33" s="562" t="s">
        <v>50</v>
      </c>
      <c r="D33" s="81" t="s">
        <v>36</v>
      </c>
      <c r="E33" s="563">
        <v>2573</v>
      </c>
      <c r="F33" s="564">
        <f>3580.6+456</f>
        <v>4036.6</v>
      </c>
      <c r="G33" s="565">
        <f>3581+456</f>
        <v>4037</v>
      </c>
      <c r="H33" s="566">
        <f t="shared" si="0"/>
        <v>156.89856198989506</v>
      </c>
      <c r="I33" s="566"/>
      <c r="J33" s="566"/>
      <c r="K33" s="507">
        <f>G33/F33*100</f>
        <v>100.00990932963386</v>
      </c>
    </row>
    <row r="34" spans="1:11" ht="14.1" customHeight="1">
      <c r="A34" s="83"/>
      <c r="B34" s="561"/>
      <c r="C34" s="567" t="s">
        <v>293</v>
      </c>
      <c r="D34" s="81"/>
      <c r="E34" s="571">
        <v>1350</v>
      </c>
      <c r="F34" s="572">
        <v>1350</v>
      </c>
      <c r="G34" s="570">
        <f>F34</f>
        <v>1350</v>
      </c>
      <c r="H34" s="566">
        <f t="shared" si="0"/>
        <v>100</v>
      </c>
      <c r="I34" s="566"/>
      <c r="J34" s="566"/>
      <c r="K34" s="507">
        <f t="shared" si="1"/>
        <v>100</v>
      </c>
    </row>
    <row r="35" spans="1:11" ht="14.1" customHeight="1">
      <c r="A35" s="83"/>
      <c r="B35" s="561"/>
      <c r="C35" s="567" t="s">
        <v>235</v>
      </c>
      <c r="D35" s="81"/>
      <c r="E35" s="571">
        <v>182.3</v>
      </c>
      <c r="F35" s="572">
        <v>157.19999999999999</v>
      </c>
      <c r="G35" s="570">
        <f>F35</f>
        <v>157.19999999999999</v>
      </c>
      <c r="H35" s="566">
        <f t="shared" si="0"/>
        <v>86.231486560614357</v>
      </c>
      <c r="I35" s="566"/>
      <c r="J35" s="566"/>
      <c r="K35" s="507">
        <f t="shared" si="1"/>
        <v>100</v>
      </c>
    </row>
    <row r="36" spans="1:11" ht="14.1" customHeight="1">
      <c r="A36" s="83"/>
      <c r="B36" s="561" t="s">
        <v>51</v>
      </c>
      <c r="C36" s="562" t="s">
        <v>52</v>
      </c>
      <c r="D36" s="81" t="s">
        <v>36</v>
      </c>
      <c r="E36" s="563">
        <v>2727</v>
      </c>
      <c r="F36" s="564">
        <f>3369.1+50.4</f>
        <v>3419.5</v>
      </c>
      <c r="G36" s="565">
        <f>3369+50</f>
        <v>3419</v>
      </c>
      <c r="H36" s="566">
        <f t="shared" si="0"/>
        <v>125.37587092042537</v>
      </c>
      <c r="I36" s="566"/>
      <c r="J36" s="566"/>
      <c r="K36" s="507">
        <f t="shared" si="1"/>
        <v>99.985377979236731</v>
      </c>
    </row>
    <row r="37" spans="1:11" ht="14.1" customHeight="1">
      <c r="A37" s="83"/>
      <c r="B37" s="561"/>
      <c r="C37" s="567" t="s">
        <v>293</v>
      </c>
      <c r="D37" s="81"/>
      <c r="E37" s="571">
        <v>1642.1</v>
      </c>
      <c r="F37" s="572">
        <v>1778.7</v>
      </c>
      <c r="G37" s="570">
        <f>F37</f>
        <v>1778.7</v>
      </c>
      <c r="H37" s="566">
        <f t="shared" si="0"/>
        <v>108.31861640582183</v>
      </c>
      <c r="I37" s="566"/>
      <c r="J37" s="566"/>
      <c r="K37" s="507">
        <f t="shared" si="1"/>
        <v>100</v>
      </c>
    </row>
    <row r="38" spans="1:11" ht="14.1" customHeight="1">
      <c r="A38" s="83"/>
      <c r="B38" s="561"/>
      <c r="C38" s="567" t="s">
        <v>235</v>
      </c>
      <c r="D38" s="81"/>
      <c r="E38" s="571">
        <v>72</v>
      </c>
      <c r="F38" s="572">
        <v>90.1</v>
      </c>
      <c r="G38" s="570">
        <f>F38</f>
        <v>90.1</v>
      </c>
      <c r="H38" s="566">
        <f t="shared" si="0"/>
        <v>125.13888888888889</v>
      </c>
      <c r="I38" s="566"/>
      <c r="J38" s="566"/>
      <c r="K38" s="507">
        <f t="shared" si="1"/>
        <v>100</v>
      </c>
    </row>
    <row r="39" spans="1:11" ht="14.1" customHeight="1">
      <c r="A39" s="83"/>
      <c r="B39" s="561" t="s">
        <v>53</v>
      </c>
      <c r="C39" s="562" t="s">
        <v>54</v>
      </c>
      <c r="D39" s="81" t="s">
        <v>36</v>
      </c>
      <c r="E39" s="563">
        <v>1480</v>
      </c>
      <c r="F39" s="564">
        <f>1893.6+426.7</f>
        <v>2320.2999999999997</v>
      </c>
      <c r="G39" s="565">
        <f>1894+427</f>
        <v>2321</v>
      </c>
      <c r="H39" s="566">
        <f t="shared" si="0"/>
        <v>156.82432432432432</v>
      </c>
      <c r="I39" s="566"/>
      <c r="J39" s="566"/>
      <c r="K39" s="507">
        <f t="shared" si="1"/>
        <v>100.03016851269233</v>
      </c>
    </row>
    <row r="40" spans="1:11" ht="14.1" customHeight="1">
      <c r="A40" s="83"/>
      <c r="B40" s="561"/>
      <c r="C40" s="567" t="s">
        <v>293</v>
      </c>
      <c r="D40" s="81"/>
      <c r="E40" s="571">
        <v>979</v>
      </c>
      <c r="F40" s="572">
        <v>1009</v>
      </c>
      <c r="G40" s="570">
        <f>F40</f>
        <v>1009</v>
      </c>
      <c r="H40" s="566">
        <f t="shared" si="0"/>
        <v>103.06435137895814</v>
      </c>
      <c r="I40" s="566"/>
      <c r="J40" s="566"/>
      <c r="K40" s="507">
        <f t="shared" si="1"/>
        <v>100</v>
      </c>
    </row>
    <row r="41" spans="1:11" ht="14.1" customHeight="1">
      <c r="A41" s="83"/>
      <c r="B41" s="561"/>
      <c r="C41" s="567" t="s">
        <v>235</v>
      </c>
      <c r="D41" s="81"/>
      <c r="E41" s="571">
        <v>57</v>
      </c>
      <c r="F41" s="572">
        <v>54.3</v>
      </c>
      <c r="G41" s="570">
        <f>F41</f>
        <v>54.3</v>
      </c>
      <c r="H41" s="566">
        <f t="shared" si="0"/>
        <v>95.263157894736835</v>
      </c>
      <c r="I41" s="566"/>
      <c r="J41" s="566"/>
      <c r="K41" s="507">
        <f t="shared" si="1"/>
        <v>100</v>
      </c>
    </row>
    <row r="42" spans="1:11" ht="14.1" customHeight="1">
      <c r="A42" s="83"/>
      <c r="B42" s="561" t="s">
        <v>55</v>
      </c>
      <c r="C42" s="562" t="s">
        <v>56</v>
      </c>
      <c r="D42" s="81" t="s">
        <v>36</v>
      </c>
      <c r="E42" s="563">
        <v>1264</v>
      </c>
      <c r="F42" s="564">
        <f>1647.5+440.2</f>
        <v>2087.6999999999998</v>
      </c>
      <c r="G42" s="565">
        <f>1647+440</f>
        <v>2087</v>
      </c>
      <c r="H42" s="566">
        <f t="shared" si="0"/>
        <v>165.11075949367088</v>
      </c>
      <c r="I42" s="566"/>
      <c r="J42" s="566"/>
      <c r="K42" s="507">
        <f t="shared" si="1"/>
        <v>99.966470278296697</v>
      </c>
    </row>
    <row r="43" spans="1:11" ht="14.1" customHeight="1">
      <c r="A43" s="83"/>
      <c r="B43" s="561"/>
      <c r="C43" s="567" t="s">
        <v>293</v>
      </c>
      <c r="D43" s="81"/>
      <c r="E43" s="571">
        <v>827</v>
      </c>
      <c r="F43" s="572">
        <v>827</v>
      </c>
      <c r="G43" s="570">
        <f>F43</f>
        <v>827</v>
      </c>
      <c r="H43" s="566">
        <f t="shared" si="0"/>
        <v>100</v>
      </c>
      <c r="I43" s="566"/>
      <c r="J43" s="566"/>
      <c r="K43" s="507">
        <f t="shared" si="1"/>
        <v>100</v>
      </c>
    </row>
    <row r="44" spans="1:11" ht="14.1" customHeight="1">
      <c r="A44" s="83"/>
      <c r="B44" s="561"/>
      <c r="C44" s="567" t="s">
        <v>235</v>
      </c>
      <c r="D44" s="81"/>
      <c r="E44" s="571">
        <v>2.9</v>
      </c>
      <c r="F44" s="572">
        <v>8.6</v>
      </c>
      <c r="G44" s="570">
        <f>F44</f>
        <v>8.6</v>
      </c>
      <c r="H44" s="566">
        <f t="shared" si="0"/>
        <v>296.55172413793105</v>
      </c>
      <c r="I44" s="566"/>
      <c r="J44" s="566"/>
      <c r="K44" s="507">
        <f t="shared" si="1"/>
        <v>100</v>
      </c>
    </row>
    <row r="45" spans="1:11" ht="14.1" customHeight="1">
      <c r="A45" s="83"/>
      <c r="B45" s="561" t="s">
        <v>57</v>
      </c>
      <c r="C45" s="562" t="s">
        <v>58</v>
      </c>
      <c r="D45" s="81" t="s">
        <v>36</v>
      </c>
      <c r="E45" s="563">
        <v>2578</v>
      </c>
      <c r="F45" s="564">
        <f>3100.4+459.2</f>
        <v>3559.6</v>
      </c>
      <c r="G45" s="565">
        <f>3100+459</f>
        <v>3559</v>
      </c>
      <c r="H45" s="566">
        <f t="shared" si="0"/>
        <v>138.05275407292476</v>
      </c>
      <c r="I45" s="566"/>
      <c r="J45" s="566"/>
      <c r="K45" s="507">
        <f t="shared" si="1"/>
        <v>99.983144173502652</v>
      </c>
    </row>
    <row r="46" spans="1:11" ht="14.1" customHeight="1">
      <c r="A46" s="83"/>
      <c r="B46" s="561"/>
      <c r="C46" s="567" t="s">
        <v>293</v>
      </c>
      <c r="D46" s="81"/>
      <c r="E46" s="571">
        <v>1788</v>
      </c>
      <c r="F46" s="572">
        <v>1788</v>
      </c>
      <c r="G46" s="570">
        <f>F46</f>
        <v>1788</v>
      </c>
      <c r="H46" s="566">
        <f t="shared" si="0"/>
        <v>100</v>
      </c>
      <c r="I46" s="566"/>
      <c r="J46" s="566"/>
      <c r="K46" s="507">
        <f t="shared" si="1"/>
        <v>100</v>
      </c>
    </row>
    <row r="47" spans="1:11" ht="14.1" customHeight="1">
      <c r="A47" s="83"/>
      <c r="B47" s="561"/>
      <c r="C47" s="567" t="s">
        <v>235</v>
      </c>
      <c r="D47" s="81"/>
      <c r="E47" s="571">
        <v>210.1</v>
      </c>
      <c r="F47" s="572">
        <v>218.8</v>
      </c>
      <c r="G47" s="570">
        <f>F47</f>
        <v>218.8</v>
      </c>
      <c r="H47" s="566">
        <f t="shared" si="0"/>
        <v>104.14088529271777</v>
      </c>
      <c r="I47" s="566"/>
      <c r="J47" s="566"/>
      <c r="K47" s="507">
        <f t="shared" si="1"/>
        <v>100</v>
      </c>
    </row>
    <row r="48" spans="1:11" ht="14.1" customHeight="1">
      <c r="A48" s="83"/>
      <c r="B48" s="561" t="s">
        <v>59</v>
      </c>
      <c r="C48" s="562" t="s">
        <v>60</v>
      </c>
      <c r="D48" s="81" t="s">
        <v>36</v>
      </c>
      <c r="E48" s="563">
        <v>2097</v>
      </c>
      <c r="F48" s="564">
        <f>2476.8+396.2</f>
        <v>2873</v>
      </c>
      <c r="G48" s="565">
        <f>2477+396</f>
        <v>2873</v>
      </c>
      <c r="H48" s="566">
        <f t="shared" si="0"/>
        <v>137.00524558893659</v>
      </c>
      <c r="I48" s="566"/>
      <c r="J48" s="566"/>
      <c r="K48" s="507">
        <f t="shared" si="1"/>
        <v>100</v>
      </c>
    </row>
    <row r="49" spans="1:12" ht="14.1" customHeight="1">
      <c r="A49" s="83"/>
      <c r="B49" s="561"/>
      <c r="C49" s="567" t="s">
        <v>293</v>
      </c>
      <c r="D49" s="81"/>
      <c r="E49" s="571">
        <v>1425</v>
      </c>
      <c r="F49" s="572">
        <v>1425</v>
      </c>
      <c r="G49" s="570">
        <f>F49</f>
        <v>1425</v>
      </c>
      <c r="H49" s="566">
        <f t="shared" si="0"/>
        <v>100</v>
      </c>
      <c r="I49" s="566"/>
      <c r="J49" s="566"/>
      <c r="K49" s="507">
        <f t="shared" si="1"/>
        <v>100</v>
      </c>
    </row>
    <row r="50" spans="1:12" ht="14.1" customHeight="1" thickBot="1">
      <c r="A50" s="575"/>
      <c r="B50" s="576"/>
      <c r="C50" s="577" t="s">
        <v>235</v>
      </c>
      <c r="D50" s="578"/>
      <c r="E50" s="579">
        <v>219</v>
      </c>
      <c r="F50" s="580">
        <v>245.4</v>
      </c>
      <c r="G50" s="579">
        <f>F50</f>
        <v>245.4</v>
      </c>
      <c r="H50" s="581">
        <f t="shared" si="0"/>
        <v>112.05479452054794</v>
      </c>
      <c r="I50" s="581"/>
      <c r="J50" s="581"/>
      <c r="K50" s="582">
        <f t="shared" si="1"/>
        <v>100</v>
      </c>
    </row>
    <row r="51" spans="1:12" ht="15" customHeight="1" thickBot="1">
      <c r="A51" s="583"/>
      <c r="B51" s="583"/>
      <c r="C51" s="584"/>
      <c r="D51" s="585"/>
      <c r="E51" s="586"/>
      <c r="F51" s="586"/>
      <c r="G51" s="6"/>
      <c r="K51" s="6" t="s">
        <v>811</v>
      </c>
    </row>
    <row r="52" spans="1:12">
      <c r="A52" s="135" t="s">
        <v>1</v>
      </c>
      <c r="B52" s="136" t="s">
        <v>2</v>
      </c>
      <c r="C52" s="137" t="s">
        <v>3</v>
      </c>
      <c r="D52" s="587"/>
      <c r="E52" s="8" t="s">
        <v>210</v>
      </c>
      <c r="F52" s="8" t="s">
        <v>312</v>
      </c>
      <c r="G52" s="111" t="s">
        <v>314</v>
      </c>
      <c r="H52" s="111" t="s">
        <v>316</v>
      </c>
      <c r="I52" s="139" t="s">
        <v>316</v>
      </c>
      <c r="J52" s="512"/>
      <c r="K52" s="139" t="s">
        <v>316</v>
      </c>
    </row>
    <row r="53" spans="1:12" ht="14.25" customHeight="1">
      <c r="A53" s="140" t="s">
        <v>5</v>
      </c>
      <c r="B53" s="141" t="s">
        <v>6</v>
      </c>
      <c r="C53" s="142" t="s">
        <v>7</v>
      </c>
      <c r="D53" s="588" t="s">
        <v>8</v>
      </c>
      <c r="E53" s="12" t="s">
        <v>202</v>
      </c>
      <c r="F53" s="12" t="s">
        <v>319</v>
      </c>
      <c r="G53" s="112" t="s">
        <v>315</v>
      </c>
      <c r="H53" s="112" t="s">
        <v>317</v>
      </c>
      <c r="I53" s="144" t="s">
        <v>318</v>
      </c>
      <c r="K53" s="144" t="s">
        <v>318</v>
      </c>
    </row>
    <row r="54" spans="1:12" ht="13.5" customHeight="1" thickBot="1">
      <c r="A54" s="145" t="s">
        <v>9</v>
      </c>
      <c r="B54" s="589" t="s">
        <v>10</v>
      </c>
      <c r="C54" s="147"/>
      <c r="D54" s="590"/>
      <c r="E54" s="15" t="s">
        <v>408</v>
      </c>
      <c r="F54" s="16">
        <v>46022</v>
      </c>
      <c r="G54" s="16">
        <f>F54</f>
        <v>46022</v>
      </c>
      <c r="H54" s="548" t="s">
        <v>211</v>
      </c>
      <c r="I54" s="549" t="s">
        <v>211</v>
      </c>
      <c r="J54" s="591"/>
      <c r="K54" s="549" t="s">
        <v>211</v>
      </c>
    </row>
    <row r="55" spans="1:12" ht="14.1" customHeight="1">
      <c r="A55" s="83"/>
      <c r="B55" s="561" t="s">
        <v>61</v>
      </c>
      <c r="C55" s="562" t="s">
        <v>62</v>
      </c>
      <c r="D55" s="81" t="s">
        <v>36</v>
      </c>
      <c r="E55" s="563">
        <v>1609</v>
      </c>
      <c r="F55" s="564">
        <f>1974+428.6</f>
        <v>2402.6</v>
      </c>
      <c r="G55" s="565">
        <f>1974+429</f>
        <v>2403</v>
      </c>
      <c r="H55" s="566">
        <f>G55/E55*100</f>
        <v>149.34742075823493</v>
      </c>
      <c r="I55" s="566"/>
      <c r="J55" s="566"/>
      <c r="K55" s="507">
        <f>G55/F55*100</f>
        <v>100.01664863065014</v>
      </c>
    </row>
    <row r="56" spans="1:12" ht="14.1" customHeight="1">
      <c r="A56" s="83"/>
      <c r="B56" s="561"/>
      <c r="C56" s="592" t="s">
        <v>293</v>
      </c>
      <c r="D56" s="593"/>
      <c r="E56" s="571">
        <v>1010</v>
      </c>
      <c r="F56" s="572">
        <v>1010</v>
      </c>
      <c r="G56" s="570">
        <f>F56</f>
        <v>1010</v>
      </c>
      <c r="H56" s="566">
        <f t="shared" ref="H56:H96" si="3">G56/E56*100</f>
        <v>100</v>
      </c>
      <c r="I56" s="566"/>
      <c r="J56" s="566"/>
      <c r="K56" s="507">
        <f t="shared" ref="K56:K96" si="4">G56/F56*100</f>
        <v>100</v>
      </c>
    </row>
    <row r="57" spans="1:12" ht="14.1" customHeight="1">
      <c r="A57" s="83"/>
      <c r="B57" s="561"/>
      <c r="C57" s="592" t="s">
        <v>235</v>
      </c>
      <c r="D57" s="593"/>
      <c r="E57" s="571">
        <v>155.69999999999999</v>
      </c>
      <c r="F57" s="572">
        <v>144.5</v>
      </c>
      <c r="G57" s="570">
        <f>F57</f>
        <v>144.5</v>
      </c>
      <c r="H57" s="566">
        <f t="shared" si="3"/>
        <v>92.806679511881825</v>
      </c>
      <c r="I57" s="566"/>
      <c r="J57" s="566"/>
      <c r="K57" s="507">
        <f t="shared" si="4"/>
        <v>100</v>
      </c>
    </row>
    <row r="58" spans="1:12" ht="14.1" customHeight="1">
      <c r="A58" s="83"/>
      <c r="B58" s="561" t="s">
        <v>63</v>
      </c>
      <c r="C58" s="562" t="s">
        <v>64</v>
      </c>
      <c r="D58" s="81" t="s">
        <v>36</v>
      </c>
      <c r="E58" s="563">
        <v>2579</v>
      </c>
      <c r="F58" s="564">
        <f>3081.5+541.1</f>
        <v>3622.6</v>
      </c>
      <c r="G58" s="565">
        <f>3081+541</f>
        <v>3622</v>
      </c>
      <c r="H58" s="566">
        <f t="shared" si="3"/>
        <v>140.44203179526949</v>
      </c>
      <c r="I58" s="566"/>
      <c r="J58" s="566"/>
      <c r="K58" s="507">
        <f t="shared" si="4"/>
        <v>99.983437310219188</v>
      </c>
    </row>
    <row r="59" spans="1:12" ht="14.1" customHeight="1">
      <c r="A59" s="83"/>
      <c r="B59" s="561"/>
      <c r="C59" s="592" t="s">
        <v>293</v>
      </c>
      <c r="D59" s="593"/>
      <c r="E59" s="571">
        <v>1521</v>
      </c>
      <c r="F59" s="572">
        <v>1521</v>
      </c>
      <c r="G59" s="570">
        <f>F59</f>
        <v>1521</v>
      </c>
      <c r="H59" s="566">
        <f t="shared" si="3"/>
        <v>100</v>
      </c>
      <c r="I59" s="566"/>
      <c r="J59" s="566"/>
      <c r="K59" s="507">
        <f t="shared" si="4"/>
        <v>100</v>
      </c>
    </row>
    <row r="60" spans="1:12" ht="14.1" customHeight="1">
      <c r="A60" s="83"/>
      <c r="B60" s="561"/>
      <c r="C60" s="592" t="s">
        <v>235</v>
      </c>
      <c r="D60" s="593"/>
      <c r="E60" s="571">
        <v>84.2</v>
      </c>
      <c r="F60" s="572">
        <v>85.1</v>
      </c>
      <c r="G60" s="570">
        <f>F60</f>
        <v>85.1</v>
      </c>
      <c r="H60" s="566">
        <f t="shared" si="3"/>
        <v>101.06888361045129</v>
      </c>
      <c r="I60" s="566"/>
      <c r="J60" s="566"/>
      <c r="K60" s="507">
        <f t="shared" si="4"/>
        <v>100</v>
      </c>
    </row>
    <row r="61" spans="1:12" ht="14.1" customHeight="1">
      <c r="A61" s="83"/>
      <c r="B61" s="561"/>
      <c r="C61" s="592" t="s">
        <v>226</v>
      </c>
      <c r="D61" s="593"/>
      <c r="E61" s="571">
        <v>200</v>
      </c>
      <c r="F61" s="572">
        <v>200</v>
      </c>
      <c r="G61" s="570">
        <f>F61</f>
        <v>200</v>
      </c>
      <c r="H61" s="566">
        <f t="shared" si="3"/>
        <v>100</v>
      </c>
      <c r="I61" s="566"/>
      <c r="J61" s="566"/>
      <c r="K61" s="507">
        <f t="shared" si="4"/>
        <v>100</v>
      </c>
    </row>
    <row r="62" spans="1:12" ht="14.1" customHeight="1">
      <c r="A62" s="83"/>
      <c r="B62" s="561" t="s">
        <v>65</v>
      </c>
      <c r="C62" s="562" t="s">
        <v>66</v>
      </c>
      <c r="D62" s="81" t="s">
        <v>36</v>
      </c>
      <c r="E62" s="563">
        <v>2100</v>
      </c>
      <c r="F62" s="564">
        <f>2482.8+18.3+467</f>
        <v>2968.1000000000004</v>
      </c>
      <c r="G62" s="565">
        <f>2483+18+467</f>
        <v>2968</v>
      </c>
      <c r="H62" s="566">
        <f t="shared" si="3"/>
        <v>141.33333333333334</v>
      </c>
      <c r="I62" s="566"/>
      <c r="J62" s="566"/>
      <c r="K62" s="507">
        <f t="shared" si="4"/>
        <v>99.996630841278915</v>
      </c>
    </row>
    <row r="63" spans="1:12" ht="14.1" customHeight="1">
      <c r="A63" s="83"/>
      <c r="B63" s="561"/>
      <c r="C63" s="592" t="s">
        <v>293</v>
      </c>
      <c r="D63" s="593"/>
      <c r="E63" s="571">
        <v>1322</v>
      </c>
      <c r="F63" s="572">
        <v>1322</v>
      </c>
      <c r="G63" s="570">
        <f>F63</f>
        <v>1322</v>
      </c>
      <c r="H63" s="566">
        <f t="shared" si="3"/>
        <v>100</v>
      </c>
      <c r="I63" s="566"/>
      <c r="J63" s="566"/>
      <c r="K63" s="507">
        <f t="shared" si="4"/>
        <v>100</v>
      </c>
    </row>
    <row r="64" spans="1:12" ht="14.1" customHeight="1">
      <c r="A64" s="83"/>
      <c r="B64" s="561"/>
      <c r="C64" s="592" t="s">
        <v>235</v>
      </c>
      <c r="D64" s="593"/>
      <c r="E64" s="571">
        <v>197.7</v>
      </c>
      <c r="F64" s="572">
        <v>222.5</v>
      </c>
      <c r="G64" s="570">
        <f>F64</f>
        <v>222.5</v>
      </c>
      <c r="H64" s="566">
        <f t="shared" si="3"/>
        <v>112.54425897824989</v>
      </c>
      <c r="I64" s="566"/>
      <c r="J64" s="566"/>
      <c r="K64" s="507">
        <f t="shared" si="4"/>
        <v>100</v>
      </c>
      <c r="L64" s="133"/>
    </row>
    <row r="65" spans="1:13" ht="14.1" customHeight="1">
      <c r="A65" s="83"/>
      <c r="B65" s="561" t="s">
        <v>67</v>
      </c>
      <c r="C65" s="562" t="s">
        <v>68</v>
      </c>
      <c r="D65" s="81" t="s">
        <v>36</v>
      </c>
      <c r="E65" s="563">
        <v>1703</v>
      </c>
      <c r="F65" s="564">
        <f>2215.7+45.9+471</f>
        <v>2732.6</v>
      </c>
      <c r="G65" s="565">
        <f>2216+46+471</f>
        <v>2733</v>
      </c>
      <c r="H65" s="566">
        <f t="shared" si="3"/>
        <v>160.48150322959484</v>
      </c>
      <c r="I65" s="566"/>
      <c r="J65" s="566"/>
      <c r="K65" s="507">
        <f t="shared" si="4"/>
        <v>100.01463807362951</v>
      </c>
      <c r="L65" s="133"/>
    </row>
    <row r="66" spans="1:13" ht="14.1" customHeight="1">
      <c r="A66" s="83"/>
      <c r="B66" s="561"/>
      <c r="C66" s="592" t="s">
        <v>293</v>
      </c>
      <c r="D66" s="593"/>
      <c r="E66" s="571">
        <v>821</v>
      </c>
      <c r="F66" s="572">
        <v>821</v>
      </c>
      <c r="G66" s="570">
        <f>F66</f>
        <v>821</v>
      </c>
      <c r="H66" s="566">
        <f t="shared" si="3"/>
        <v>100</v>
      </c>
      <c r="I66" s="566"/>
      <c r="J66" s="566"/>
      <c r="K66" s="507">
        <f t="shared" si="4"/>
        <v>100</v>
      </c>
      <c r="L66" s="133"/>
    </row>
    <row r="67" spans="1:13" ht="14.1" customHeight="1">
      <c r="A67" s="83"/>
      <c r="B67" s="561"/>
      <c r="C67" s="592" t="s">
        <v>226</v>
      </c>
      <c r="D67" s="593"/>
      <c r="E67" s="594">
        <v>250</v>
      </c>
      <c r="F67" s="595">
        <v>250</v>
      </c>
      <c r="G67" s="570">
        <f>F67</f>
        <v>250</v>
      </c>
      <c r="H67" s="566">
        <f t="shared" si="3"/>
        <v>100</v>
      </c>
      <c r="I67" s="566"/>
      <c r="J67" s="566"/>
      <c r="K67" s="507">
        <f t="shared" si="4"/>
        <v>100</v>
      </c>
    </row>
    <row r="68" spans="1:13" ht="14.1" customHeight="1">
      <c r="A68" s="83"/>
      <c r="B68" s="561"/>
      <c r="C68" s="592" t="s">
        <v>235</v>
      </c>
      <c r="D68" s="593"/>
      <c r="E68" s="568">
        <v>31.5</v>
      </c>
      <c r="F68" s="569">
        <v>31</v>
      </c>
      <c r="G68" s="570">
        <f>F68</f>
        <v>31</v>
      </c>
      <c r="H68" s="566">
        <f t="shared" si="3"/>
        <v>98.412698412698404</v>
      </c>
      <c r="I68" s="566"/>
      <c r="J68" s="566"/>
      <c r="K68" s="507">
        <f t="shared" si="4"/>
        <v>100</v>
      </c>
    </row>
    <row r="69" spans="1:13" ht="14.1" customHeight="1">
      <c r="A69" s="83"/>
      <c r="B69" s="561" t="s">
        <v>69</v>
      </c>
      <c r="C69" s="562" t="s">
        <v>70</v>
      </c>
      <c r="D69" s="81" t="s">
        <v>36</v>
      </c>
      <c r="E69" s="563">
        <v>2864</v>
      </c>
      <c r="F69" s="564">
        <f>3509.1+554.2</f>
        <v>4063.3</v>
      </c>
      <c r="G69" s="565">
        <f>3509+554</f>
        <v>4063</v>
      </c>
      <c r="H69" s="566">
        <f t="shared" si="3"/>
        <v>141.86452513966481</v>
      </c>
      <c r="I69" s="566"/>
      <c r="J69" s="566"/>
      <c r="K69" s="507">
        <f t="shared" si="4"/>
        <v>99.992616838530253</v>
      </c>
    </row>
    <row r="70" spans="1:13" ht="14.1" customHeight="1">
      <c r="A70" s="83"/>
      <c r="B70" s="561"/>
      <c r="C70" s="592" t="s">
        <v>293</v>
      </c>
      <c r="D70" s="593"/>
      <c r="E70" s="571">
        <v>1820</v>
      </c>
      <c r="F70" s="572">
        <v>1820</v>
      </c>
      <c r="G70" s="570">
        <f>F70</f>
        <v>1820</v>
      </c>
      <c r="H70" s="566">
        <f t="shared" si="3"/>
        <v>100</v>
      </c>
      <c r="I70" s="566"/>
      <c r="J70" s="566"/>
      <c r="K70" s="507">
        <f t="shared" si="4"/>
        <v>100</v>
      </c>
      <c r="M70" s="133"/>
    </row>
    <row r="71" spans="1:13" ht="14.1" customHeight="1">
      <c r="A71" s="83"/>
      <c r="B71" s="561"/>
      <c r="C71" s="592" t="s">
        <v>236</v>
      </c>
      <c r="D71" s="593"/>
      <c r="E71" s="571">
        <v>143.19999999999999</v>
      </c>
      <c r="F71" s="572">
        <v>150.69999999999999</v>
      </c>
      <c r="G71" s="570">
        <f>F71</f>
        <v>150.69999999999999</v>
      </c>
      <c r="H71" s="566">
        <f t="shared" si="3"/>
        <v>105.23743016759776</v>
      </c>
      <c r="I71" s="566"/>
      <c r="J71" s="566"/>
      <c r="K71" s="507">
        <f t="shared" si="4"/>
        <v>100</v>
      </c>
      <c r="M71" s="133"/>
    </row>
    <row r="72" spans="1:13" ht="14.1" customHeight="1">
      <c r="A72" s="36" t="s">
        <v>32</v>
      </c>
      <c r="B72" s="596"/>
      <c r="C72" s="443" t="s">
        <v>71</v>
      </c>
      <c r="D72" s="597"/>
      <c r="E72" s="598">
        <f>E73+E76+E80+E83+E86+E90+E93+E106+E109+E112+E115+E119+E122+E125+E128</f>
        <v>106739</v>
      </c>
      <c r="F72" s="599">
        <f>F73+F76+F80+F83+F86+F90+F93+F106+F109+F112+F115+F119+F122+F125+F128</f>
        <v>159097.20000000001</v>
      </c>
      <c r="G72" s="598">
        <f>G73+G76+G80+G83+G86+G90+G93+G106+G109+G112+G115+G119+G122+G125+G128</f>
        <v>159097</v>
      </c>
      <c r="H72" s="557">
        <f t="shared" si="3"/>
        <v>149.0523613674477</v>
      </c>
      <c r="I72" s="557"/>
      <c r="J72" s="557"/>
      <c r="K72" s="503">
        <f t="shared" si="4"/>
        <v>99.999874290685185</v>
      </c>
      <c r="M72" s="133"/>
    </row>
    <row r="73" spans="1:13" ht="14.1" customHeight="1">
      <c r="A73" s="83"/>
      <c r="B73" s="561" t="s">
        <v>72</v>
      </c>
      <c r="C73" s="562" t="s">
        <v>73</v>
      </c>
      <c r="D73" s="81" t="s">
        <v>74</v>
      </c>
      <c r="E73" s="563">
        <v>5088</v>
      </c>
      <c r="F73" s="564">
        <f>6417.1+1116.6</f>
        <v>7533.7000000000007</v>
      </c>
      <c r="G73" s="565">
        <f>6417+1117</f>
        <v>7534</v>
      </c>
      <c r="H73" s="566">
        <f t="shared" si="3"/>
        <v>148.07389937106919</v>
      </c>
      <c r="I73" s="566"/>
      <c r="J73" s="566"/>
      <c r="K73" s="507">
        <f t="shared" si="4"/>
        <v>100.00398210706558</v>
      </c>
      <c r="M73" s="133"/>
    </row>
    <row r="74" spans="1:13" ht="14.1" customHeight="1">
      <c r="A74" s="600"/>
      <c r="B74" s="601"/>
      <c r="C74" s="592" t="s">
        <v>293</v>
      </c>
      <c r="D74" s="602"/>
      <c r="E74" s="603">
        <v>3257</v>
      </c>
      <c r="F74" s="604">
        <v>3507</v>
      </c>
      <c r="G74" s="570">
        <f>F74</f>
        <v>3507</v>
      </c>
      <c r="H74" s="566">
        <f t="shared" si="3"/>
        <v>107.67577525330059</v>
      </c>
      <c r="I74" s="566"/>
      <c r="J74" s="566"/>
      <c r="K74" s="507">
        <f t="shared" si="4"/>
        <v>100</v>
      </c>
      <c r="M74" s="133"/>
    </row>
    <row r="75" spans="1:13" ht="14.1" customHeight="1">
      <c r="A75" s="600"/>
      <c r="B75" s="601"/>
      <c r="C75" s="592" t="s">
        <v>235</v>
      </c>
      <c r="D75" s="602"/>
      <c r="E75" s="603">
        <v>488</v>
      </c>
      <c r="F75" s="604">
        <v>525.79999999999995</v>
      </c>
      <c r="G75" s="570">
        <f>F75</f>
        <v>525.79999999999995</v>
      </c>
      <c r="H75" s="566">
        <f t="shared" si="3"/>
        <v>107.74590163934425</v>
      </c>
      <c r="I75" s="566"/>
      <c r="J75" s="566"/>
      <c r="K75" s="507">
        <f t="shared" si="4"/>
        <v>100</v>
      </c>
      <c r="M75" s="133"/>
    </row>
    <row r="76" spans="1:13" ht="14.1" customHeight="1">
      <c r="A76" s="83"/>
      <c r="B76" s="561" t="s">
        <v>75</v>
      </c>
      <c r="C76" s="562" t="s">
        <v>76</v>
      </c>
      <c r="D76" s="81" t="s">
        <v>74</v>
      </c>
      <c r="E76" s="563">
        <v>5506</v>
      </c>
      <c r="F76" s="564">
        <f>7050.6+1505.6+33.1</f>
        <v>8589.3000000000011</v>
      </c>
      <c r="G76" s="565">
        <f>7051+33+1506</f>
        <v>8590</v>
      </c>
      <c r="H76" s="566">
        <f t="shared" si="3"/>
        <v>156.01162368325464</v>
      </c>
      <c r="I76" s="566"/>
      <c r="J76" s="566"/>
      <c r="K76" s="507">
        <f t="shared" si="4"/>
        <v>100.00814967459513</v>
      </c>
      <c r="M76" s="133"/>
    </row>
    <row r="77" spans="1:13" ht="14.1" customHeight="1">
      <c r="A77" s="600"/>
      <c r="B77" s="601"/>
      <c r="C77" s="592" t="s">
        <v>293</v>
      </c>
      <c r="D77" s="605"/>
      <c r="E77" s="603">
        <v>3336.3</v>
      </c>
      <c r="F77" s="604">
        <v>3336</v>
      </c>
      <c r="G77" s="570">
        <f>F77</f>
        <v>3336</v>
      </c>
      <c r="H77" s="566">
        <f t="shared" si="3"/>
        <v>99.991008002877436</v>
      </c>
      <c r="I77" s="566"/>
      <c r="J77" s="566"/>
      <c r="K77" s="507">
        <f t="shared" si="4"/>
        <v>100</v>
      </c>
      <c r="M77" s="133"/>
    </row>
    <row r="78" spans="1:13" ht="14.1" customHeight="1">
      <c r="A78" s="600"/>
      <c r="B78" s="601"/>
      <c r="C78" s="592" t="s">
        <v>272</v>
      </c>
      <c r="D78" s="605"/>
      <c r="E78" s="603">
        <v>112</v>
      </c>
      <c r="F78" s="604">
        <v>112</v>
      </c>
      <c r="G78" s="570">
        <f t="shared" ref="G78:G79" si="5">F78</f>
        <v>112</v>
      </c>
      <c r="H78" s="566">
        <f t="shared" si="3"/>
        <v>100</v>
      </c>
      <c r="I78" s="566"/>
      <c r="J78" s="566"/>
      <c r="K78" s="507">
        <f t="shared" si="4"/>
        <v>100</v>
      </c>
      <c r="M78" s="133"/>
    </row>
    <row r="79" spans="1:13" ht="14.1" customHeight="1">
      <c r="A79" s="600"/>
      <c r="B79" s="601"/>
      <c r="C79" s="592" t="s">
        <v>235</v>
      </c>
      <c r="D79" s="605"/>
      <c r="E79" s="603">
        <v>574.4</v>
      </c>
      <c r="F79" s="604">
        <v>664.2</v>
      </c>
      <c r="G79" s="570">
        <f t="shared" si="5"/>
        <v>664.2</v>
      </c>
      <c r="H79" s="566">
        <f t="shared" si="3"/>
        <v>115.63370473537606</v>
      </c>
      <c r="I79" s="566"/>
      <c r="J79" s="566"/>
      <c r="K79" s="507">
        <f t="shared" si="4"/>
        <v>100</v>
      </c>
      <c r="M79" s="133"/>
    </row>
    <row r="80" spans="1:13" ht="14.1" customHeight="1">
      <c r="A80" s="83"/>
      <c r="B80" s="561" t="s">
        <v>77</v>
      </c>
      <c r="C80" s="562" t="s">
        <v>78</v>
      </c>
      <c r="D80" s="81" t="s">
        <v>74</v>
      </c>
      <c r="E80" s="563">
        <v>4847</v>
      </c>
      <c r="F80" s="564">
        <f>6209.5</f>
        <v>6209.5</v>
      </c>
      <c r="G80" s="565">
        <v>6209</v>
      </c>
      <c r="H80" s="566">
        <f t="shared" si="3"/>
        <v>128.09985558077162</v>
      </c>
      <c r="I80" s="566"/>
      <c r="J80" s="566"/>
      <c r="K80" s="507">
        <f t="shared" si="4"/>
        <v>99.991947821885816</v>
      </c>
      <c r="M80" s="133"/>
    </row>
    <row r="81" spans="1:13" ht="14.1" customHeight="1">
      <c r="A81" s="600"/>
      <c r="B81" s="601"/>
      <c r="C81" s="592" t="s">
        <v>293</v>
      </c>
      <c r="D81" s="605"/>
      <c r="E81" s="603">
        <v>3159</v>
      </c>
      <c r="F81" s="604">
        <v>3159</v>
      </c>
      <c r="G81" s="570">
        <f>F81</f>
        <v>3159</v>
      </c>
      <c r="H81" s="566">
        <f t="shared" si="3"/>
        <v>100</v>
      </c>
      <c r="I81" s="566"/>
      <c r="J81" s="566"/>
      <c r="K81" s="507">
        <f t="shared" si="4"/>
        <v>100</v>
      </c>
      <c r="M81" s="133"/>
    </row>
    <row r="82" spans="1:13" ht="14.1" customHeight="1">
      <c r="A82" s="600"/>
      <c r="B82" s="601"/>
      <c r="C82" s="592" t="s">
        <v>235</v>
      </c>
      <c r="D82" s="605"/>
      <c r="E82" s="603">
        <v>162.1</v>
      </c>
      <c r="F82" s="604">
        <v>138.5</v>
      </c>
      <c r="G82" s="570">
        <f>F82</f>
        <v>138.5</v>
      </c>
      <c r="H82" s="566">
        <f t="shared" si="3"/>
        <v>85.441085749537322</v>
      </c>
      <c r="I82" s="566"/>
      <c r="J82" s="566"/>
      <c r="K82" s="507">
        <f t="shared" si="4"/>
        <v>100</v>
      </c>
      <c r="M82" s="133"/>
    </row>
    <row r="83" spans="1:13" ht="14.1" customHeight="1">
      <c r="A83" s="83"/>
      <c r="B83" s="561" t="s">
        <v>79</v>
      </c>
      <c r="C83" s="562" t="s">
        <v>80</v>
      </c>
      <c r="D83" s="81" t="s">
        <v>74</v>
      </c>
      <c r="E83" s="563">
        <v>5902</v>
      </c>
      <c r="F83" s="564">
        <f>7043.9+1323.6</f>
        <v>8367.5</v>
      </c>
      <c r="G83" s="565">
        <f>7044+1324</f>
        <v>8368</v>
      </c>
      <c r="H83" s="566">
        <f t="shared" si="3"/>
        <v>141.7824466282616</v>
      </c>
      <c r="I83" s="566"/>
      <c r="J83" s="566"/>
      <c r="K83" s="507">
        <f t="shared" si="4"/>
        <v>100.00597550044816</v>
      </c>
      <c r="M83" s="133"/>
    </row>
    <row r="84" spans="1:13" ht="14.1" customHeight="1">
      <c r="A84" s="600"/>
      <c r="B84" s="601"/>
      <c r="C84" s="592" t="s">
        <v>293</v>
      </c>
      <c r="D84" s="605"/>
      <c r="E84" s="603">
        <v>4234</v>
      </c>
      <c r="F84" s="604">
        <v>4234</v>
      </c>
      <c r="G84" s="570">
        <f>F84</f>
        <v>4234</v>
      </c>
      <c r="H84" s="566">
        <f t="shared" si="3"/>
        <v>100</v>
      </c>
      <c r="I84" s="566"/>
      <c r="J84" s="566"/>
      <c r="K84" s="507">
        <f t="shared" si="4"/>
        <v>100</v>
      </c>
      <c r="M84" s="133"/>
    </row>
    <row r="85" spans="1:13" ht="14.1" customHeight="1">
      <c r="A85" s="600"/>
      <c r="B85" s="601"/>
      <c r="C85" s="592" t="s">
        <v>235</v>
      </c>
      <c r="D85" s="605"/>
      <c r="E85" s="603">
        <v>251.9</v>
      </c>
      <c r="F85" s="604">
        <v>214.7</v>
      </c>
      <c r="G85" s="570">
        <f>F85</f>
        <v>214.7</v>
      </c>
      <c r="H85" s="566">
        <f t="shared" si="3"/>
        <v>85.232235013894396</v>
      </c>
      <c r="I85" s="566"/>
      <c r="J85" s="566"/>
      <c r="K85" s="507">
        <f t="shared" si="4"/>
        <v>100</v>
      </c>
      <c r="M85" s="133"/>
    </row>
    <row r="86" spans="1:13" ht="14.1" customHeight="1">
      <c r="A86" s="83"/>
      <c r="B86" s="561" t="s">
        <v>81</v>
      </c>
      <c r="C86" s="562" t="s">
        <v>82</v>
      </c>
      <c r="D86" s="81" t="s">
        <v>74</v>
      </c>
      <c r="E86" s="563">
        <v>9875</v>
      </c>
      <c r="F86" s="564">
        <f>12578.4+2885.4</f>
        <v>15463.8</v>
      </c>
      <c r="G86" s="565">
        <f>12578+2885</f>
        <v>15463</v>
      </c>
      <c r="H86" s="566">
        <f t="shared" si="3"/>
        <v>156.58734177215189</v>
      </c>
      <c r="I86" s="566"/>
      <c r="J86" s="566"/>
      <c r="K86" s="507">
        <f t="shared" si="4"/>
        <v>99.994826627349042</v>
      </c>
      <c r="M86" s="133"/>
    </row>
    <row r="87" spans="1:13" ht="14.1" customHeight="1">
      <c r="A87" s="600"/>
      <c r="B87" s="601"/>
      <c r="C87" s="592" t="s">
        <v>293</v>
      </c>
      <c r="D87" s="605"/>
      <c r="E87" s="603">
        <v>4870</v>
      </c>
      <c r="F87" s="604">
        <v>4370</v>
      </c>
      <c r="G87" s="570">
        <f>F87</f>
        <v>4370</v>
      </c>
      <c r="H87" s="566">
        <f t="shared" si="3"/>
        <v>89.73305954825463</v>
      </c>
      <c r="I87" s="566"/>
      <c r="J87" s="566"/>
      <c r="K87" s="507">
        <f t="shared" si="4"/>
        <v>100</v>
      </c>
      <c r="M87" s="133"/>
    </row>
    <row r="88" spans="1:13" ht="14.1" customHeight="1">
      <c r="A88" s="606"/>
      <c r="B88" s="607"/>
      <c r="C88" s="592" t="s">
        <v>235</v>
      </c>
      <c r="D88" s="608"/>
      <c r="E88" s="603">
        <v>782.7</v>
      </c>
      <c r="F88" s="604">
        <v>880</v>
      </c>
      <c r="G88" s="570">
        <f t="shared" ref="G88:G89" si="6">F88</f>
        <v>880</v>
      </c>
      <c r="H88" s="566">
        <f t="shared" si="3"/>
        <v>112.43132745624121</v>
      </c>
      <c r="I88" s="566"/>
      <c r="J88" s="566"/>
      <c r="K88" s="507">
        <f t="shared" si="4"/>
        <v>100</v>
      </c>
      <c r="M88" s="133"/>
    </row>
    <row r="89" spans="1:13" ht="14.1" customHeight="1">
      <c r="A89" s="606"/>
      <c r="B89" s="607"/>
      <c r="C89" s="592" t="s">
        <v>251</v>
      </c>
      <c r="D89" s="608"/>
      <c r="E89" s="603">
        <v>1000</v>
      </c>
      <c r="F89" s="604">
        <v>1000</v>
      </c>
      <c r="G89" s="570">
        <f t="shared" si="6"/>
        <v>1000</v>
      </c>
      <c r="H89" s="566">
        <f t="shared" si="3"/>
        <v>100</v>
      </c>
      <c r="I89" s="566"/>
      <c r="J89" s="566"/>
      <c r="K89" s="507">
        <f t="shared" si="4"/>
        <v>100</v>
      </c>
      <c r="M89" s="133"/>
    </row>
    <row r="90" spans="1:13" ht="14.1" customHeight="1">
      <c r="A90" s="83"/>
      <c r="B90" s="561" t="s">
        <v>83</v>
      </c>
      <c r="C90" s="562" t="s">
        <v>84</v>
      </c>
      <c r="D90" s="81" t="s">
        <v>74</v>
      </c>
      <c r="E90" s="563">
        <v>4104</v>
      </c>
      <c r="F90" s="564">
        <f>5376+53.2+910</f>
        <v>6339.2</v>
      </c>
      <c r="G90" s="565">
        <f>5376+53+910</f>
        <v>6339</v>
      </c>
      <c r="H90" s="566">
        <f t="shared" si="3"/>
        <v>154.45906432748538</v>
      </c>
      <c r="I90" s="566"/>
      <c r="J90" s="566"/>
      <c r="K90" s="507">
        <f t="shared" si="4"/>
        <v>99.996845027763754</v>
      </c>
      <c r="M90" s="133"/>
    </row>
    <row r="91" spans="1:13" ht="14.1" customHeight="1">
      <c r="A91" s="600"/>
      <c r="B91" s="601"/>
      <c r="C91" s="592" t="s">
        <v>293</v>
      </c>
      <c r="D91" s="605"/>
      <c r="E91" s="603">
        <v>3052</v>
      </c>
      <c r="F91" s="604">
        <v>3052</v>
      </c>
      <c r="G91" s="570">
        <f>F91</f>
        <v>3052</v>
      </c>
      <c r="H91" s="566">
        <f t="shared" si="3"/>
        <v>100</v>
      </c>
      <c r="I91" s="566"/>
      <c r="J91" s="566"/>
      <c r="K91" s="507">
        <f t="shared" si="4"/>
        <v>100</v>
      </c>
      <c r="M91" s="133"/>
    </row>
    <row r="92" spans="1:13" ht="14.1" customHeight="1">
      <c r="A92" s="600"/>
      <c r="B92" s="601"/>
      <c r="C92" s="592" t="s">
        <v>235</v>
      </c>
      <c r="D92" s="605"/>
      <c r="E92" s="603">
        <v>140.30000000000001</v>
      </c>
      <c r="F92" s="604">
        <v>201.9</v>
      </c>
      <c r="G92" s="570">
        <f>F92</f>
        <v>201.9</v>
      </c>
      <c r="H92" s="566">
        <f t="shared" si="3"/>
        <v>143.90591589451176</v>
      </c>
      <c r="I92" s="566"/>
      <c r="J92" s="566"/>
      <c r="K92" s="507">
        <f t="shared" si="4"/>
        <v>100</v>
      </c>
      <c r="M92" s="133"/>
    </row>
    <row r="93" spans="1:13" ht="14.1" customHeight="1">
      <c r="A93" s="83"/>
      <c r="B93" s="561" t="s">
        <v>85</v>
      </c>
      <c r="C93" s="562" t="s">
        <v>203</v>
      </c>
      <c r="D93" s="81" t="s">
        <v>74</v>
      </c>
      <c r="E93" s="563">
        <v>9399</v>
      </c>
      <c r="F93" s="564">
        <f>11090+1862</f>
        <v>12952</v>
      </c>
      <c r="G93" s="565">
        <f>11090+1862</f>
        <v>12952</v>
      </c>
      <c r="H93" s="566">
        <f t="shared" si="3"/>
        <v>137.80189381849132</v>
      </c>
      <c r="I93" s="566"/>
      <c r="J93" s="566"/>
      <c r="K93" s="507">
        <f t="shared" si="4"/>
        <v>100</v>
      </c>
    </row>
    <row r="94" spans="1:13" ht="14.1" customHeight="1">
      <c r="A94" s="600"/>
      <c r="B94" s="601"/>
      <c r="C94" s="592" t="s">
        <v>293</v>
      </c>
      <c r="D94" s="605"/>
      <c r="E94" s="603">
        <v>5350</v>
      </c>
      <c r="F94" s="604">
        <v>5350</v>
      </c>
      <c r="G94" s="570">
        <f>F94</f>
        <v>5350</v>
      </c>
      <c r="H94" s="566">
        <f t="shared" si="3"/>
        <v>100</v>
      </c>
      <c r="I94" s="566"/>
      <c r="J94" s="566"/>
      <c r="K94" s="507">
        <f t="shared" si="4"/>
        <v>100</v>
      </c>
    </row>
    <row r="95" spans="1:13" ht="14.1" customHeight="1">
      <c r="A95" s="609"/>
      <c r="B95" s="610"/>
      <c r="C95" s="611" t="s">
        <v>273</v>
      </c>
      <c r="D95" s="612"/>
      <c r="E95" s="613">
        <v>183</v>
      </c>
      <c r="F95" s="614">
        <v>183</v>
      </c>
      <c r="G95" s="570">
        <f>F95</f>
        <v>183</v>
      </c>
      <c r="H95" s="566">
        <f t="shared" si="3"/>
        <v>100</v>
      </c>
      <c r="I95" s="566"/>
      <c r="J95" s="566"/>
      <c r="K95" s="507">
        <f t="shared" si="4"/>
        <v>100</v>
      </c>
    </row>
    <row r="96" spans="1:13" ht="14.1" customHeight="1" thickBot="1">
      <c r="A96" s="615"/>
      <c r="B96" s="616"/>
      <c r="C96" s="617" t="s">
        <v>235</v>
      </c>
      <c r="D96" s="618"/>
      <c r="E96" s="619">
        <v>1775.6</v>
      </c>
      <c r="F96" s="620">
        <v>1819</v>
      </c>
      <c r="G96" s="621">
        <f>F96</f>
        <v>1819</v>
      </c>
      <c r="H96" s="581">
        <f t="shared" si="3"/>
        <v>102.44424419914395</v>
      </c>
      <c r="I96" s="581"/>
      <c r="J96" s="581"/>
      <c r="K96" s="582">
        <f t="shared" si="4"/>
        <v>100</v>
      </c>
    </row>
    <row r="97" spans="1:15" ht="14.1" customHeight="1">
      <c r="A97" s="622"/>
      <c r="B97" s="623"/>
      <c r="C97" s="584"/>
      <c r="D97" s="585"/>
      <c r="E97" s="624"/>
      <c r="F97" s="624"/>
      <c r="G97" s="625"/>
    </row>
    <row r="98" spans="1:15" ht="14.1" customHeight="1">
      <c r="A98" s="622"/>
      <c r="B98" s="623"/>
      <c r="C98" s="584"/>
      <c r="D98" s="585"/>
      <c r="E98" s="624"/>
      <c r="F98" s="624"/>
      <c r="G98" s="625"/>
    </row>
    <row r="99" spans="1:15" ht="14.1" customHeight="1">
      <c r="A99" s="622"/>
      <c r="B99" s="623"/>
      <c r="C99" s="584"/>
      <c r="D99" s="585"/>
      <c r="E99" s="624"/>
      <c r="F99" s="624"/>
      <c r="G99" s="625"/>
    </row>
    <row r="100" spans="1:15" ht="12.95" customHeight="1">
      <c r="A100" s="622"/>
      <c r="B100" s="623"/>
      <c r="C100" s="584"/>
      <c r="D100" s="585"/>
      <c r="E100" s="624"/>
      <c r="F100" s="624"/>
      <c r="G100" s="625"/>
    </row>
    <row r="101" spans="1:15" ht="12.95" customHeight="1">
      <c r="A101" s="622"/>
      <c r="B101" s="623"/>
      <c r="C101" s="584"/>
      <c r="D101" s="585"/>
      <c r="E101" s="624"/>
      <c r="F101" s="624"/>
      <c r="G101" s="625"/>
    </row>
    <row r="102" spans="1:15" ht="14.25" customHeight="1" thickBot="1">
      <c r="A102" s="583"/>
      <c r="B102" s="583"/>
      <c r="C102" s="584"/>
      <c r="D102" s="585"/>
      <c r="E102" s="586"/>
      <c r="F102" s="586"/>
      <c r="G102" s="6"/>
      <c r="K102" s="6" t="s">
        <v>812</v>
      </c>
    </row>
    <row r="103" spans="1:15" ht="12.95" customHeight="1">
      <c r="A103" s="135" t="s">
        <v>1</v>
      </c>
      <c r="B103" s="136" t="s">
        <v>2</v>
      </c>
      <c r="C103" s="137" t="s">
        <v>3</v>
      </c>
      <c r="D103" s="138"/>
      <c r="E103" s="8" t="s">
        <v>210</v>
      </c>
      <c r="F103" s="8" t="s">
        <v>312</v>
      </c>
      <c r="G103" s="111" t="s">
        <v>314</v>
      </c>
      <c r="H103" s="111" t="s">
        <v>316</v>
      </c>
      <c r="I103" s="139" t="s">
        <v>316</v>
      </c>
      <c r="J103" s="512"/>
      <c r="K103" s="139" t="s">
        <v>316</v>
      </c>
    </row>
    <row r="104" spans="1:15" ht="12.95" customHeight="1">
      <c r="A104" s="140" t="s">
        <v>5</v>
      </c>
      <c r="B104" s="141" t="s">
        <v>6</v>
      </c>
      <c r="C104" s="142" t="s">
        <v>7</v>
      </c>
      <c r="D104" s="143" t="s">
        <v>8</v>
      </c>
      <c r="E104" s="12" t="s">
        <v>202</v>
      </c>
      <c r="F104" s="12" t="s">
        <v>319</v>
      </c>
      <c r="G104" s="112" t="s">
        <v>315</v>
      </c>
      <c r="H104" s="112" t="s">
        <v>317</v>
      </c>
      <c r="I104" s="144" t="s">
        <v>318</v>
      </c>
      <c r="K104" s="144" t="s">
        <v>318</v>
      </c>
    </row>
    <row r="105" spans="1:15" ht="12.95" customHeight="1" thickBot="1">
      <c r="A105" s="145" t="s">
        <v>9</v>
      </c>
      <c r="B105" s="589" t="s">
        <v>10</v>
      </c>
      <c r="C105" s="147"/>
      <c r="D105" s="148"/>
      <c r="E105" s="15" t="s">
        <v>408</v>
      </c>
      <c r="F105" s="16">
        <v>46022</v>
      </c>
      <c r="G105" s="16">
        <f>F105</f>
        <v>46022</v>
      </c>
      <c r="H105" s="548" t="s">
        <v>211</v>
      </c>
      <c r="I105" s="549" t="s">
        <v>211</v>
      </c>
      <c r="J105" s="591"/>
      <c r="K105" s="549" t="s">
        <v>211</v>
      </c>
    </row>
    <row r="106" spans="1:15" ht="14.1" customHeight="1">
      <c r="A106" s="83"/>
      <c r="B106" s="561" t="s">
        <v>86</v>
      </c>
      <c r="C106" s="562" t="s">
        <v>87</v>
      </c>
      <c r="D106" s="81" t="s">
        <v>74</v>
      </c>
      <c r="E106" s="563">
        <v>5624</v>
      </c>
      <c r="F106" s="564">
        <f>7830+1766.8</f>
        <v>9596.7999999999993</v>
      </c>
      <c r="G106" s="565">
        <f>7830+1767</f>
        <v>9597</v>
      </c>
      <c r="H106" s="566">
        <f>G106/E106*100</f>
        <v>170.64366998577526</v>
      </c>
      <c r="I106" s="566"/>
      <c r="J106" s="566"/>
      <c r="K106" s="507">
        <f>G106/F106*100</f>
        <v>100.00208402800934</v>
      </c>
      <c r="M106" s="150"/>
      <c r="N106" s="627"/>
      <c r="O106" s="150"/>
    </row>
    <row r="107" spans="1:15" ht="14.25" customHeight="1">
      <c r="A107" s="600"/>
      <c r="B107" s="601"/>
      <c r="C107" s="592" t="s">
        <v>293</v>
      </c>
      <c r="D107" s="605"/>
      <c r="E107" s="603">
        <v>3517</v>
      </c>
      <c r="F107" s="604">
        <v>4100</v>
      </c>
      <c r="G107" s="570">
        <f>F107</f>
        <v>4100</v>
      </c>
      <c r="H107" s="626">
        <f t="shared" ref="H107:H129" si="7">G107/E107*100</f>
        <v>116.57662780779073</v>
      </c>
      <c r="I107" s="626"/>
      <c r="J107" s="626"/>
      <c r="K107" s="507">
        <f t="shared" ref="K107:K130" si="8">G107/F107*100</f>
        <v>100</v>
      </c>
      <c r="M107" s="150"/>
      <c r="N107" s="627"/>
      <c r="O107" s="150"/>
    </row>
    <row r="108" spans="1:15" ht="14.1" customHeight="1">
      <c r="A108" s="600"/>
      <c r="B108" s="601"/>
      <c r="C108" s="592" t="s">
        <v>235</v>
      </c>
      <c r="D108" s="605"/>
      <c r="E108" s="603">
        <v>248.7</v>
      </c>
      <c r="F108" s="604">
        <v>272.7</v>
      </c>
      <c r="G108" s="570">
        <f>F108</f>
        <v>272.7</v>
      </c>
      <c r="H108" s="626">
        <f t="shared" si="7"/>
        <v>109.65018094089265</v>
      </c>
      <c r="I108" s="626"/>
      <c r="J108" s="626"/>
      <c r="K108" s="507">
        <f t="shared" si="8"/>
        <v>100</v>
      </c>
      <c r="L108" s="133"/>
      <c r="M108" s="150"/>
      <c r="N108" s="627"/>
      <c r="O108" s="150"/>
    </row>
    <row r="109" spans="1:15" ht="14.1" customHeight="1">
      <c r="A109" s="83"/>
      <c r="B109" s="561" t="s">
        <v>88</v>
      </c>
      <c r="C109" s="562" t="s">
        <v>89</v>
      </c>
      <c r="D109" s="81" t="s">
        <v>74</v>
      </c>
      <c r="E109" s="563">
        <v>7043</v>
      </c>
      <c r="F109" s="564">
        <f>8744.7+36.8+1544.9</f>
        <v>10326.4</v>
      </c>
      <c r="G109" s="565">
        <f>8745+37+1545</f>
        <v>10327</v>
      </c>
      <c r="H109" s="566">
        <f t="shared" si="7"/>
        <v>146.62785744711059</v>
      </c>
      <c r="I109" s="566"/>
      <c r="J109" s="566"/>
      <c r="K109" s="507">
        <f t="shared" si="8"/>
        <v>100.00581035017045</v>
      </c>
      <c r="L109" s="133"/>
      <c r="M109" s="150"/>
      <c r="N109" s="627"/>
      <c r="O109" s="150"/>
    </row>
    <row r="110" spans="1:15" ht="14.1" customHeight="1">
      <c r="A110" s="600"/>
      <c r="B110" s="601"/>
      <c r="C110" s="592" t="s">
        <v>293</v>
      </c>
      <c r="D110" s="605"/>
      <c r="E110" s="603">
        <v>4590</v>
      </c>
      <c r="F110" s="604">
        <v>4590</v>
      </c>
      <c r="G110" s="570">
        <f>F110</f>
        <v>4590</v>
      </c>
      <c r="H110" s="626">
        <f t="shared" si="7"/>
        <v>100</v>
      </c>
      <c r="I110" s="626"/>
      <c r="J110" s="626"/>
      <c r="K110" s="507">
        <f t="shared" si="8"/>
        <v>100</v>
      </c>
      <c r="L110" s="133"/>
      <c r="M110" s="150"/>
      <c r="N110" s="627"/>
      <c r="O110" s="150"/>
    </row>
    <row r="111" spans="1:15" ht="14.1" customHeight="1">
      <c r="A111" s="600"/>
      <c r="B111" s="601"/>
      <c r="C111" s="592" t="s">
        <v>235</v>
      </c>
      <c r="D111" s="605"/>
      <c r="E111" s="603">
        <v>795.8</v>
      </c>
      <c r="F111" s="604">
        <v>795.8</v>
      </c>
      <c r="G111" s="570">
        <f>F111</f>
        <v>795.8</v>
      </c>
      <c r="H111" s="626">
        <f t="shared" si="7"/>
        <v>100</v>
      </c>
      <c r="I111" s="626"/>
      <c r="J111" s="626"/>
      <c r="K111" s="507">
        <f t="shared" si="8"/>
        <v>100</v>
      </c>
      <c r="L111" s="133"/>
      <c r="M111" s="150"/>
      <c r="N111" s="627"/>
      <c r="O111" s="150"/>
    </row>
    <row r="112" spans="1:15" ht="14.1" customHeight="1">
      <c r="A112" s="83"/>
      <c r="B112" s="561" t="s">
        <v>90</v>
      </c>
      <c r="C112" s="562" t="s">
        <v>91</v>
      </c>
      <c r="D112" s="81" t="s">
        <v>74</v>
      </c>
      <c r="E112" s="563">
        <v>6171</v>
      </c>
      <c r="F112" s="564">
        <f>7732.5+1407.1</f>
        <v>9139.6</v>
      </c>
      <c r="G112" s="573">
        <f>7732+1407</f>
        <v>9139</v>
      </c>
      <c r="H112" s="566">
        <f t="shared" si="7"/>
        <v>148.09593258791119</v>
      </c>
      <c r="I112" s="566"/>
      <c r="J112" s="566"/>
      <c r="K112" s="507">
        <f>G112/F112*100</f>
        <v>99.993435161276196</v>
      </c>
      <c r="L112" s="151"/>
    </row>
    <row r="113" spans="1:13" ht="14.1" customHeight="1">
      <c r="A113" s="600"/>
      <c r="B113" s="601"/>
      <c r="C113" s="592" t="s">
        <v>293</v>
      </c>
      <c r="D113" s="605"/>
      <c r="E113" s="603">
        <v>3725</v>
      </c>
      <c r="F113" s="604">
        <v>3725</v>
      </c>
      <c r="G113" s="570">
        <f>F113</f>
        <v>3725</v>
      </c>
      <c r="H113" s="626">
        <f t="shared" si="7"/>
        <v>100</v>
      </c>
      <c r="I113" s="626"/>
      <c r="J113" s="626"/>
      <c r="K113" s="507">
        <f t="shared" si="8"/>
        <v>100</v>
      </c>
      <c r="L113" s="151"/>
    </row>
    <row r="114" spans="1:13" ht="14.1" customHeight="1">
      <c r="A114" s="600"/>
      <c r="B114" s="601"/>
      <c r="C114" s="592" t="s">
        <v>235</v>
      </c>
      <c r="D114" s="605"/>
      <c r="E114" s="603">
        <v>795.7</v>
      </c>
      <c r="F114" s="604">
        <v>806.2</v>
      </c>
      <c r="G114" s="570">
        <f>F114</f>
        <v>806.2</v>
      </c>
      <c r="H114" s="626">
        <f t="shared" si="7"/>
        <v>101.31959281136108</v>
      </c>
      <c r="I114" s="626"/>
      <c r="J114" s="626"/>
      <c r="K114" s="507">
        <f t="shared" si="8"/>
        <v>100</v>
      </c>
      <c r="L114" s="151"/>
    </row>
    <row r="115" spans="1:13" ht="14.1" customHeight="1">
      <c r="A115" s="83"/>
      <c r="B115" s="561" t="s">
        <v>92</v>
      </c>
      <c r="C115" s="562" t="s">
        <v>93</v>
      </c>
      <c r="D115" s="81" t="s">
        <v>74</v>
      </c>
      <c r="E115" s="563">
        <v>9376</v>
      </c>
      <c r="F115" s="564">
        <f>11327.5+1992.8</f>
        <v>13320.3</v>
      </c>
      <c r="G115" s="565">
        <f>11327+1993</f>
        <v>13320</v>
      </c>
      <c r="H115" s="566">
        <f t="shared" si="7"/>
        <v>142.06484641638227</v>
      </c>
      <c r="I115" s="566"/>
      <c r="J115" s="566"/>
      <c r="K115" s="507">
        <f t="shared" si="8"/>
        <v>99.997747798473014</v>
      </c>
    </row>
    <row r="116" spans="1:13" ht="14.1" customHeight="1">
      <c r="A116" s="600"/>
      <c r="B116" s="601"/>
      <c r="C116" s="592" t="s">
        <v>293</v>
      </c>
      <c r="D116" s="605"/>
      <c r="E116" s="603">
        <v>5507.5</v>
      </c>
      <c r="F116" s="604">
        <v>5248</v>
      </c>
      <c r="G116" s="570">
        <f>F116</f>
        <v>5248</v>
      </c>
      <c r="H116" s="626">
        <f t="shared" si="7"/>
        <v>95.288243304584654</v>
      </c>
      <c r="I116" s="626"/>
      <c r="J116" s="626"/>
      <c r="K116" s="507">
        <f t="shared" si="8"/>
        <v>100</v>
      </c>
    </row>
    <row r="117" spans="1:13" ht="14.1" customHeight="1">
      <c r="A117" s="600"/>
      <c r="B117" s="601"/>
      <c r="C117" s="592" t="s">
        <v>225</v>
      </c>
      <c r="D117" s="605"/>
      <c r="E117" s="603">
        <v>300</v>
      </c>
      <c r="F117" s="604">
        <v>300</v>
      </c>
      <c r="G117" s="570">
        <f t="shared" ref="G117:G118" si="9">F117</f>
        <v>300</v>
      </c>
      <c r="H117" s="626">
        <f t="shared" si="7"/>
        <v>100</v>
      </c>
      <c r="I117" s="626"/>
      <c r="J117" s="626"/>
      <c r="K117" s="507">
        <f t="shared" si="8"/>
        <v>100</v>
      </c>
    </row>
    <row r="118" spans="1:13" ht="14.1" customHeight="1">
      <c r="A118" s="600"/>
      <c r="B118" s="601"/>
      <c r="C118" s="592" t="s">
        <v>236</v>
      </c>
      <c r="D118" s="605"/>
      <c r="E118" s="603">
        <v>1070</v>
      </c>
      <c r="F118" s="604">
        <v>1037</v>
      </c>
      <c r="G118" s="570">
        <f t="shared" si="9"/>
        <v>1037</v>
      </c>
      <c r="H118" s="626">
        <f t="shared" si="7"/>
        <v>96.915887850467286</v>
      </c>
      <c r="I118" s="626"/>
      <c r="J118" s="626"/>
      <c r="K118" s="507">
        <f t="shared" si="8"/>
        <v>100</v>
      </c>
    </row>
    <row r="119" spans="1:13" ht="14.1" customHeight="1">
      <c r="A119" s="83"/>
      <c r="B119" s="561" t="s">
        <v>94</v>
      </c>
      <c r="C119" s="562" t="s">
        <v>95</v>
      </c>
      <c r="D119" s="81" t="s">
        <v>74</v>
      </c>
      <c r="E119" s="563">
        <v>5994</v>
      </c>
      <c r="F119" s="564">
        <f>8507.8+1478.5</f>
        <v>9986.2999999999993</v>
      </c>
      <c r="G119" s="565">
        <f>8508+1478</f>
        <v>9986</v>
      </c>
      <c r="H119" s="566">
        <f t="shared" si="7"/>
        <v>166.59993326659995</v>
      </c>
      <c r="I119" s="566"/>
      <c r="J119" s="566"/>
      <c r="K119" s="507">
        <f t="shared" si="8"/>
        <v>99.996995884361581</v>
      </c>
      <c r="M119" s="447"/>
    </row>
    <row r="120" spans="1:13" ht="14.1" customHeight="1">
      <c r="A120" s="600"/>
      <c r="B120" s="601"/>
      <c r="C120" s="592" t="s">
        <v>293</v>
      </c>
      <c r="D120" s="605"/>
      <c r="E120" s="603">
        <v>3363</v>
      </c>
      <c r="F120" s="604">
        <v>4416.5</v>
      </c>
      <c r="G120" s="570">
        <f>F120</f>
        <v>4416.5</v>
      </c>
      <c r="H120" s="626">
        <f t="shared" si="7"/>
        <v>131.32619684805235</v>
      </c>
      <c r="I120" s="626"/>
      <c r="J120" s="626"/>
      <c r="K120" s="507">
        <f t="shared" si="8"/>
        <v>100</v>
      </c>
      <c r="M120" s="133"/>
    </row>
    <row r="121" spans="1:13" ht="14.1" customHeight="1">
      <c r="A121" s="600"/>
      <c r="B121" s="601"/>
      <c r="C121" s="592" t="s">
        <v>235</v>
      </c>
      <c r="D121" s="605"/>
      <c r="E121" s="603">
        <v>850</v>
      </c>
      <c r="F121" s="604">
        <v>850</v>
      </c>
      <c r="G121" s="570">
        <f>F121</f>
        <v>850</v>
      </c>
      <c r="H121" s="626">
        <f t="shared" si="7"/>
        <v>100</v>
      </c>
      <c r="I121" s="626"/>
      <c r="J121" s="626"/>
      <c r="K121" s="507">
        <f t="shared" si="8"/>
        <v>100</v>
      </c>
      <c r="M121" s="133"/>
    </row>
    <row r="122" spans="1:13" ht="14.1" customHeight="1">
      <c r="A122" s="83"/>
      <c r="B122" s="561" t="s">
        <v>96</v>
      </c>
      <c r="C122" s="562" t="s">
        <v>97</v>
      </c>
      <c r="D122" s="81" t="s">
        <v>74</v>
      </c>
      <c r="E122" s="563">
        <v>8591</v>
      </c>
      <c r="F122" s="564">
        <f>10783.5+1888.3</f>
        <v>12671.8</v>
      </c>
      <c r="G122" s="565">
        <f>10784+1888</f>
        <v>12672</v>
      </c>
      <c r="H122" s="566">
        <f t="shared" si="7"/>
        <v>147.50320102432778</v>
      </c>
      <c r="I122" s="566"/>
      <c r="J122" s="566"/>
      <c r="K122" s="507">
        <f t="shared" si="8"/>
        <v>100.00157830773846</v>
      </c>
      <c r="M122" s="133"/>
    </row>
    <row r="123" spans="1:13" ht="14.1" customHeight="1">
      <c r="A123" s="600"/>
      <c r="B123" s="601"/>
      <c r="C123" s="592" t="s">
        <v>293</v>
      </c>
      <c r="D123" s="605"/>
      <c r="E123" s="603">
        <v>6124</v>
      </c>
      <c r="F123" s="604">
        <v>6424</v>
      </c>
      <c r="G123" s="570">
        <f>F123</f>
        <v>6424</v>
      </c>
      <c r="H123" s="626">
        <f t="shared" si="7"/>
        <v>104.89875898105814</v>
      </c>
      <c r="I123" s="626"/>
      <c r="J123" s="626"/>
      <c r="K123" s="507">
        <f t="shared" si="8"/>
        <v>100</v>
      </c>
      <c r="M123" s="133"/>
    </row>
    <row r="124" spans="1:13" ht="14.1" customHeight="1">
      <c r="A124" s="600"/>
      <c r="B124" s="601"/>
      <c r="C124" s="592" t="s">
        <v>235</v>
      </c>
      <c r="D124" s="605"/>
      <c r="E124" s="603">
        <v>271.2</v>
      </c>
      <c r="F124" s="604">
        <v>398.3</v>
      </c>
      <c r="G124" s="570">
        <f>F124</f>
        <v>398.3</v>
      </c>
      <c r="H124" s="626">
        <f t="shared" si="7"/>
        <v>146.86578171091446</v>
      </c>
      <c r="I124" s="626"/>
      <c r="J124" s="626"/>
      <c r="K124" s="507">
        <f t="shared" si="8"/>
        <v>100</v>
      </c>
      <c r="M124" s="133"/>
    </row>
    <row r="125" spans="1:13" ht="14.1" customHeight="1">
      <c r="A125" s="83"/>
      <c r="B125" s="561" t="s">
        <v>98</v>
      </c>
      <c r="C125" s="562" t="s">
        <v>99</v>
      </c>
      <c r="D125" s="81" t="s">
        <v>74</v>
      </c>
      <c r="E125" s="563">
        <v>9156</v>
      </c>
      <c r="F125" s="564">
        <f>11874+1874+53.7</f>
        <v>13801.7</v>
      </c>
      <c r="G125" s="565">
        <f>11874+54+1874</f>
        <v>13802</v>
      </c>
      <c r="H125" s="566">
        <f t="shared" si="7"/>
        <v>150.74268239405853</v>
      </c>
      <c r="I125" s="566"/>
      <c r="J125" s="566"/>
      <c r="K125" s="507">
        <f t="shared" si="8"/>
        <v>100.00217364527558</v>
      </c>
    </row>
    <row r="126" spans="1:13" ht="14.1" customHeight="1">
      <c r="A126" s="600"/>
      <c r="B126" s="601"/>
      <c r="C126" s="592" t="s">
        <v>293</v>
      </c>
      <c r="D126" s="605"/>
      <c r="E126" s="603">
        <v>5937</v>
      </c>
      <c r="F126" s="604">
        <v>6437</v>
      </c>
      <c r="G126" s="570">
        <f>F126</f>
        <v>6437</v>
      </c>
      <c r="H126" s="626">
        <f t="shared" si="7"/>
        <v>108.42176183257537</v>
      </c>
      <c r="I126" s="626"/>
      <c r="J126" s="626"/>
      <c r="K126" s="507">
        <f t="shared" si="8"/>
        <v>100</v>
      </c>
    </row>
    <row r="127" spans="1:13" ht="14.1" customHeight="1">
      <c r="A127" s="600"/>
      <c r="B127" s="601"/>
      <c r="C127" s="592" t="s">
        <v>235</v>
      </c>
      <c r="D127" s="605"/>
      <c r="E127" s="603">
        <v>556.20000000000005</v>
      </c>
      <c r="F127" s="604">
        <v>572.4</v>
      </c>
      <c r="G127" s="570">
        <f>F127</f>
        <v>572.4</v>
      </c>
      <c r="H127" s="626">
        <f t="shared" si="7"/>
        <v>102.91262135922328</v>
      </c>
      <c r="I127" s="626"/>
      <c r="J127" s="626"/>
      <c r="K127" s="507">
        <f t="shared" si="8"/>
        <v>100</v>
      </c>
    </row>
    <row r="128" spans="1:13" ht="14.1" customHeight="1">
      <c r="A128" s="83"/>
      <c r="B128" s="561" t="s">
        <v>100</v>
      </c>
      <c r="C128" s="562" t="s">
        <v>101</v>
      </c>
      <c r="D128" s="81" t="s">
        <v>74</v>
      </c>
      <c r="E128" s="563">
        <v>10063</v>
      </c>
      <c r="F128" s="564">
        <f>12423.9+2375.4</f>
        <v>14799.3</v>
      </c>
      <c r="G128" s="565">
        <f>12424+2375</f>
        <v>14799</v>
      </c>
      <c r="H128" s="566">
        <f t="shared" si="7"/>
        <v>147.06349995031303</v>
      </c>
      <c r="I128" s="566"/>
      <c r="J128" s="566"/>
      <c r="K128" s="507">
        <f t="shared" si="8"/>
        <v>99.997972877095549</v>
      </c>
    </row>
    <row r="129" spans="1:11" ht="14.1" customHeight="1">
      <c r="A129" s="600"/>
      <c r="B129" s="601"/>
      <c r="C129" s="592" t="s">
        <v>293</v>
      </c>
      <c r="D129" s="605"/>
      <c r="E129" s="603">
        <v>6024</v>
      </c>
      <c r="F129" s="604">
        <v>6024</v>
      </c>
      <c r="G129" s="570">
        <f>F129</f>
        <v>6024</v>
      </c>
      <c r="H129" s="626">
        <f t="shared" si="7"/>
        <v>100</v>
      </c>
      <c r="I129" s="626"/>
      <c r="J129" s="626"/>
      <c r="K129" s="507">
        <f t="shared" si="8"/>
        <v>100</v>
      </c>
    </row>
    <row r="130" spans="1:11" ht="14.1" customHeight="1" thickBot="1">
      <c r="A130" s="615"/>
      <c r="B130" s="616"/>
      <c r="C130" s="617" t="s">
        <v>235</v>
      </c>
      <c r="D130" s="618"/>
      <c r="E130" s="619">
        <v>1068.9000000000001</v>
      </c>
      <c r="F130" s="620">
        <v>1212.7</v>
      </c>
      <c r="G130" s="621">
        <f>F130</f>
        <v>1212.7</v>
      </c>
      <c r="H130" s="628">
        <f>G130/E130*100</f>
        <v>113.45308260828888</v>
      </c>
      <c r="I130" s="628"/>
      <c r="J130" s="628"/>
      <c r="K130" s="582">
        <f t="shared" si="8"/>
        <v>100</v>
      </c>
    </row>
    <row r="131" spans="1:11" ht="14.1" customHeight="1">
      <c r="A131" s="622"/>
      <c r="B131" s="623"/>
      <c r="C131" s="584"/>
      <c r="D131" s="585"/>
      <c r="E131" s="624"/>
      <c r="F131" s="585"/>
      <c r="G131" s="6"/>
      <c r="K131" s="6"/>
    </row>
    <row r="132" spans="1:11" ht="12.95" customHeight="1">
      <c r="A132" s="622"/>
      <c r="B132" s="623"/>
      <c r="C132" s="584"/>
      <c r="D132" s="585"/>
      <c r="E132" s="624"/>
      <c r="F132" s="75"/>
      <c r="G132" s="75"/>
      <c r="H132" s="75"/>
      <c r="I132" s="75"/>
      <c r="K132" s="75"/>
    </row>
    <row r="133" spans="1:11" ht="12.95" customHeight="1">
      <c r="A133" s="622"/>
      <c r="B133" s="623"/>
      <c r="C133" s="584"/>
      <c r="D133" s="585"/>
      <c r="E133" s="624"/>
      <c r="F133" s="75"/>
      <c r="G133" s="75"/>
      <c r="H133" s="75"/>
      <c r="I133" s="75"/>
      <c r="K133" s="75"/>
    </row>
    <row r="134" spans="1:11" ht="12.95" customHeight="1">
      <c r="A134" s="622"/>
      <c r="B134" s="623"/>
      <c r="C134" s="584"/>
      <c r="D134" s="585"/>
      <c r="E134" s="624"/>
      <c r="F134" s="152"/>
      <c r="G134" s="152"/>
      <c r="H134" s="152"/>
      <c r="I134" s="75"/>
      <c r="K134" s="75"/>
    </row>
    <row r="135" spans="1:11" ht="12.95" customHeight="1">
      <c r="A135" s="622"/>
      <c r="B135" s="623"/>
      <c r="C135" s="584"/>
      <c r="D135" s="585"/>
      <c r="E135" s="624"/>
      <c r="F135" s="629"/>
      <c r="G135" s="630"/>
      <c r="H135" s="631"/>
      <c r="I135" s="631"/>
      <c r="J135" s="631"/>
      <c r="K135" s="631"/>
    </row>
    <row r="136" spans="1:11" ht="12.95" customHeight="1">
      <c r="A136" s="622"/>
      <c r="B136" s="623"/>
      <c r="C136" s="584"/>
      <c r="D136" s="585"/>
      <c r="E136" s="624"/>
      <c r="F136" s="632"/>
      <c r="G136" s="633"/>
      <c r="H136" s="634"/>
      <c r="I136" s="634"/>
      <c r="J136" s="634"/>
      <c r="K136" s="634"/>
    </row>
    <row r="137" spans="1:11" ht="12.95" customHeight="1">
      <c r="A137" s="622"/>
      <c r="B137" s="623"/>
      <c r="C137" s="584"/>
      <c r="D137" s="585"/>
      <c r="E137" s="624"/>
      <c r="F137" s="632"/>
      <c r="G137" s="633"/>
      <c r="H137" s="634"/>
      <c r="I137" s="634"/>
      <c r="J137" s="634"/>
      <c r="K137" s="634"/>
    </row>
    <row r="138" spans="1:11" ht="12.95" customHeight="1">
      <c r="A138" s="622"/>
      <c r="B138" s="623"/>
      <c r="C138" s="584"/>
      <c r="D138" s="585"/>
      <c r="E138" s="624"/>
      <c r="F138" s="632"/>
      <c r="G138" s="633"/>
      <c r="H138" s="634"/>
      <c r="I138" s="634"/>
      <c r="J138" s="634"/>
      <c r="K138" s="634"/>
    </row>
    <row r="139" spans="1:11" ht="12.95" customHeight="1">
      <c r="A139" s="622"/>
      <c r="B139" s="623"/>
      <c r="C139" s="584"/>
      <c r="D139" s="585"/>
      <c r="E139" s="624"/>
      <c r="F139" s="632"/>
      <c r="G139" s="633"/>
      <c r="H139" s="634"/>
      <c r="I139" s="634"/>
      <c r="J139" s="634"/>
      <c r="K139" s="634"/>
    </row>
    <row r="140" spans="1:11" ht="12.95" customHeight="1">
      <c r="A140" s="622"/>
      <c r="B140" s="623"/>
      <c r="C140" s="584"/>
      <c r="D140" s="585"/>
      <c r="E140" s="624"/>
      <c r="F140" s="966"/>
      <c r="G140" s="967"/>
      <c r="H140" s="968"/>
      <c r="I140" s="637"/>
      <c r="J140" s="637"/>
      <c r="K140" s="968"/>
    </row>
    <row r="141" spans="1:11" ht="12.95" customHeight="1">
      <c r="A141" s="622"/>
      <c r="B141" s="623"/>
      <c r="C141" s="584"/>
      <c r="D141" s="585"/>
      <c r="E141" s="624"/>
      <c r="F141" s="966"/>
      <c r="G141" s="967"/>
      <c r="H141" s="968"/>
      <c r="I141" s="637"/>
      <c r="J141" s="637"/>
      <c r="K141" s="968"/>
    </row>
    <row r="142" spans="1:11" ht="12.95" customHeight="1">
      <c r="A142" s="622"/>
      <c r="B142" s="623"/>
      <c r="C142" s="584"/>
      <c r="D142" s="585"/>
      <c r="E142" s="624"/>
      <c r="F142" s="638"/>
      <c r="G142" s="636"/>
      <c r="H142" s="637"/>
      <c r="I142" s="637"/>
      <c r="J142" s="637"/>
      <c r="K142" s="637"/>
    </row>
    <row r="143" spans="1:11" ht="12.95" customHeight="1">
      <c r="A143" s="622"/>
      <c r="B143" s="623"/>
      <c r="C143" s="584"/>
      <c r="D143" s="585"/>
      <c r="E143" s="624"/>
      <c r="F143" s="639"/>
      <c r="G143" s="640"/>
      <c r="H143" s="641"/>
      <c r="I143" s="642"/>
      <c r="J143" s="637"/>
      <c r="K143" s="631"/>
    </row>
    <row r="144" spans="1:11" ht="12.95" customHeight="1">
      <c r="A144" s="622"/>
      <c r="B144" s="623"/>
      <c r="C144" s="584"/>
      <c r="D144" s="585"/>
      <c r="E144" s="624"/>
      <c r="F144" s="153"/>
      <c r="G144" s="643"/>
      <c r="H144" s="644"/>
      <c r="I144" s="645"/>
      <c r="J144" s="646"/>
      <c r="K144" s="634"/>
    </row>
    <row r="145" spans="1:11" ht="12.95" customHeight="1">
      <c r="A145" s="622"/>
      <c r="B145" s="623"/>
      <c r="C145" s="584"/>
      <c r="D145" s="585"/>
      <c r="E145" s="624"/>
      <c r="F145" s="647"/>
      <c r="G145" s="648"/>
      <c r="H145" s="634"/>
      <c r="I145" s="634"/>
      <c r="J145" s="634"/>
      <c r="K145" s="634"/>
    </row>
    <row r="146" spans="1:11" ht="12.95" customHeight="1">
      <c r="A146" s="622"/>
      <c r="B146" s="623"/>
      <c r="C146" s="584"/>
      <c r="D146" s="585"/>
      <c r="E146" s="624"/>
      <c r="F146" s="635"/>
      <c r="G146" s="638"/>
      <c r="H146" s="641"/>
      <c r="I146" s="642"/>
      <c r="J146" s="637"/>
      <c r="K146" s="631"/>
    </row>
    <row r="147" spans="1:11" ht="12.95" customHeight="1">
      <c r="A147" s="622"/>
      <c r="B147" s="623"/>
      <c r="C147" s="584"/>
      <c r="D147" s="585"/>
      <c r="E147" s="624"/>
      <c r="F147" s="649"/>
      <c r="G147" s="643"/>
      <c r="H147" s="644"/>
      <c r="I147" s="645"/>
      <c r="J147" s="646"/>
      <c r="K147" s="634"/>
    </row>
    <row r="148" spans="1:11" ht="12.95" customHeight="1">
      <c r="A148" s="622"/>
      <c r="B148" s="623"/>
      <c r="C148" s="584"/>
      <c r="D148" s="585"/>
      <c r="E148" s="624"/>
      <c r="F148" s="649"/>
      <c r="G148" s="643"/>
      <c r="H148" s="644"/>
      <c r="I148" s="645"/>
      <c r="J148" s="646"/>
      <c r="K148" s="634"/>
    </row>
    <row r="149" spans="1:11" ht="12.95" customHeight="1">
      <c r="A149" s="622"/>
      <c r="B149" s="623"/>
      <c r="C149" s="584"/>
      <c r="D149" s="585"/>
      <c r="E149" s="624"/>
      <c r="F149" s="649"/>
      <c r="G149" s="643"/>
      <c r="H149" s="644"/>
      <c r="I149" s="645"/>
      <c r="J149" s="646"/>
      <c r="K149" s="634"/>
    </row>
    <row r="150" spans="1:11" ht="12.95" customHeight="1">
      <c r="A150" s="622"/>
      <c r="B150" s="623"/>
      <c r="C150" s="584"/>
      <c r="D150" s="585"/>
      <c r="E150" s="624"/>
      <c r="F150" s="650"/>
      <c r="G150" s="651"/>
      <c r="H150" s="652"/>
      <c r="I150" s="652"/>
      <c r="J150" s="652"/>
      <c r="K150" s="652"/>
    </row>
    <row r="151" spans="1:11" ht="12.95" customHeight="1">
      <c r="A151" s="622"/>
      <c r="B151" s="623"/>
      <c r="C151" s="584"/>
      <c r="D151" s="585"/>
      <c r="E151" s="624"/>
      <c r="K151" s="6"/>
    </row>
    <row r="152" spans="1:11" ht="12.95" customHeight="1">
      <c r="A152" s="622"/>
      <c r="B152" s="623"/>
      <c r="C152" s="584"/>
      <c r="D152" s="585"/>
      <c r="E152" s="624"/>
      <c r="F152" s="75"/>
      <c r="G152" s="75"/>
      <c r="H152" s="75"/>
      <c r="I152" s="75"/>
      <c r="K152" s="75"/>
    </row>
    <row r="153" spans="1:11" ht="12.95" customHeight="1">
      <c r="A153" s="622"/>
      <c r="B153" s="623"/>
      <c r="C153" s="584"/>
      <c r="D153" s="585"/>
      <c r="E153" s="624"/>
      <c r="F153" s="75"/>
      <c r="G153" s="75"/>
      <c r="H153" s="75"/>
      <c r="I153" s="75"/>
      <c r="K153" s="75"/>
    </row>
    <row r="154" spans="1:11" ht="12.95" customHeight="1">
      <c r="A154" s="622"/>
      <c r="B154" s="623"/>
      <c r="C154" s="584"/>
      <c r="D154" s="585"/>
      <c r="E154" s="624"/>
      <c r="F154" s="152"/>
      <c r="G154" s="152"/>
      <c r="H154" s="152"/>
      <c r="I154" s="75"/>
      <c r="K154" s="75"/>
    </row>
    <row r="155" spans="1:11" ht="16.5" customHeight="1" thickBot="1">
      <c r="A155" s="622"/>
      <c r="B155" s="623"/>
      <c r="C155" s="584"/>
      <c r="D155" s="585"/>
      <c r="E155" s="585"/>
      <c r="F155" s="653"/>
      <c r="G155" s="654"/>
      <c r="H155" s="654"/>
      <c r="I155" s="654"/>
      <c r="K155" s="6" t="s">
        <v>813</v>
      </c>
    </row>
    <row r="156" spans="1:11" ht="12.75" customHeight="1">
      <c r="A156" s="135" t="s">
        <v>1</v>
      </c>
      <c r="B156" s="136" t="s">
        <v>2</v>
      </c>
      <c r="C156" s="137" t="s">
        <v>3</v>
      </c>
      <c r="D156" s="138"/>
      <c r="E156" s="8" t="s">
        <v>210</v>
      </c>
      <c r="F156" s="8" t="s">
        <v>312</v>
      </c>
      <c r="G156" s="111" t="s">
        <v>314</v>
      </c>
      <c r="H156" s="111" t="s">
        <v>316</v>
      </c>
      <c r="I156" s="139" t="s">
        <v>316</v>
      </c>
      <c r="J156" s="512"/>
      <c r="K156" s="139" t="s">
        <v>316</v>
      </c>
    </row>
    <row r="157" spans="1:11" ht="12.75" customHeight="1">
      <c r="A157" s="140" t="s">
        <v>5</v>
      </c>
      <c r="B157" s="141" t="s">
        <v>6</v>
      </c>
      <c r="C157" s="142" t="s">
        <v>7</v>
      </c>
      <c r="D157" s="143" t="s">
        <v>8</v>
      </c>
      <c r="E157" s="12" t="s">
        <v>202</v>
      </c>
      <c r="F157" s="12" t="s">
        <v>319</v>
      </c>
      <c r="G157" s="112" t="s">
        <v>315</v>
      </c>
      <c r="H157" s="112" t="s">
        <v>317</v>
      </c>
      <c r="I157" s="144" t="s">
        <v>318</v>
      </c>
      <c r="K157" s="144" t="s">
        <v>318</v>
      </c>
    </row>
    <row r="158" spans="1:11" ht="15" customHeight="1" thickBot="1">
      <c r="A158" s="145" t="s">
        <v>9</v>
      </c>
      <c r="B158" s="589" t="s">
        <v>10</v>
      </c>
      <c r="C158" s="147"/>
      <c r="D158" s="148"/>
      <c r="E158" s="15" t="s">
        <v>408</v>
      </c>
      <c r="F158" s="16">
        <v>46022</v>
      </c>
      <c r="G158" s="16">
        <f>F158</f>
        <v>46022</v>
      </c>
      <c r="H158" s="548" t="s">
        <v>211</v>
      </c>
      <c r="I158" s="549" t="s">
        <v>211</v>
      </c>
      <c r="J158" s="591"/>
      <c r="K158" s="549" t="s">
        <v>211</v>
      </c>
    </row>
    <row r="159" spans="1:11" ht="14.1" customHeight="1">
      <c r="A159" s="655"/>
      <c r="B159" s="656"/>
      <c r="C159" s="657" t="s">
        <v>102</v>
      </c>
      <c r="D159" s="658" t="s">
        <v>74</v>
      </c>
      <c r="E159" s="659">
        <f>SUM(E160:E163)</f>
        <v>970</v>
      </c>
      <c r="F159" s="660">
        <f>SUM(F160:F163)</f>
        <v>642.5</v>
      </c>
      <c r="G159" s="659">
        <f>SUM(G160:G163)</f>
        <v>615.41100000000006</v>
      </c>
      <c r="H159" s="557">
        <f>G159/E159*100</f>
        <v>63.444432989690725</v>
      </c>
      <c r="I159" s="557"/>
      <c r="J159" s="557"/>
      <c r="K159" s="503">
        <f t="shared" ref="K159:K175" si="10">G159/F159*100</f>
        <v>95.78381322957199</v>
      </c>
    </row>
    <row r="160" spans="1:11" ht="14.1" customHeight="1">
      <c r="A160" s="655"/>
      <c r="B160" s="656"/>
      <c r="C160" s="154"/>
      <c r="D160" s="661" t="s">
        <v>304</v>
      </c>
      <c r="E160" s="662">
        <v>200</v>
      </c>
      <c r="F160" s="663">
        <v>120</v>
      </c>
      <c r="G160" s="99">
        <v>108</v>
      </c>
      <c r="H160" s="566">
        <f t="shared" ref="H160:H175" si="11">G160/E160*100</f>
        <v>54</v>
      </c>
      <c r="I160" s="566"/>
      <c r="J160" s="566"/>
      <c r="K160" s="507">
        <f t="shared" si="10"/>
        <v>90</v>
      </c>
    </row>
    <row r="161" spans="1:15" ht="26.25" customHeight="1">
      <c r="A161" s="655"/>
      <c r="B161" s="656"/>
      <c r="C161" s="154"/>
      <c r="D161" s="664" t="s">
        <v>566</v>
      </c>
      <c r="E161" s="662">
        <v>300</v>
      </c>
      <c r="F161" s="663">
        <v>181.5</v>
      </c>
      <c r="G161" s="99">
        <v>167.31100000000001</v>
      </c>
      <c r="H161" s="566">
        <f t="shared" si="11"/>
        <v>55.770333333333333</v>
      </c>
      <c r="I161" s="566"/>
      <c r="J161" s="566"/>
      <c r="K161" s="507">
        <f t="shared" si="10"/>
        <v>92.182369146005513</v>
      </c>
      <c r="L161" s="155"/>
    </row>
    <row r="162" spans="1:15" ht="14.1" customHeight="1">
      <c r="A162" s="655"/>
      <c r="B162" s="656"/>
      <c r="C162" s="154"/>
      <c r="D162" s="661" t="s">
        <v>245</v>
      </c>
      <c r="E162" s="662">
        <v>200</v>
      </c>
      <c r="F162" s="663">
        <v>71</v>
      </c>
      <c r="G162" s="60">
        <v>71</v>
      </c>
      <c r="H162" s="566">
        <f t="shared" si="11"/>
        <v>35.5</v>
      </c>
      <c r="I162" s="566"/>
      <c r="J162" s="566"/>
      <c r="K162" s="507">
        <f t="shared" si="10"/>
        <v>100</v>
      </c>
    </row>
    <row r="163" spans="1:15" ht="14.1" customHeight="1">
      <c r="A163" s="600"/>
      <c r="B163" s="665"/>
      <c r="C163" s="156"/>
      <c r="D163" s="661" t="s">
        <v>259</v>
      </c>
      <c r="E163" s="662">
        <v>270</v>
      </c>
      <c r="F163" s="663">
        <v>270</v>
      </c>
      <c r="G163" s="99">
        <v>269.10000000000002</v>
      </c>
      <c r="H163" s="566">
        <f t="shared" si="11"/>
        <v>99.666666666666671</v>
      </c>
      <c r="I163" s="566"/>
      <c r="J163" s="566"/>
      <c r="K163" s="507">
        <f t="shared" si="10"/>
        <v>99.666666666666671</v>
      </c>
    </row>
    <row r="164" spans="1:15" ht="14.1" customHeight="1">
      <c r="A164" s="960"/>
      <c r="B164" s="666" t="s">
        <v>105</v>
      </c>
      <c r="C164" s="667" t="s">
        <v>204</v>
      </c>
      <c r="D164" s="668" t="s">
        <v>205</v>
      </c>
      <c r="E164" s="669"/>
      <c r="F164" s="670"/>
      <c r="G164" s="671"/>
      <c r="H164" s="962">
        <f>G165/E165*100</f>
        <v>106.97260273972601</v>
      </c>
      <c r="I164" s="672"/>
      <c r="J164" s="672"/>
      <c r="K164" s="964">
        <f>G165/F165*100</f>
        <v>99.999359717251139</v>
      </c>
    </row>
    <row r="165" spans="1:15" ht="14.1" customHeight="1">
      <c r="A165" s="961"/>
      <c r="B165" s="673"/>
      <c r="C165" s="674" t="s">
        <v>206</v>
      </c>
      <c r="D165" s="674" t="s">
        <v>412</v>
      </c>
      <c r="E165" s="157">
        <v>73000</v>
      </c>
      <c r="F165" s="675">
        <v>78090.5</v>
      </c>
      <c r="G165" s="676">
        <v>78090</v>
      </c>
      <c r="H165" s="963"/>
      <c r="I165" s="672"/>
      <c r="J165" s="672"/>
      <c r="K165" s="965"/>
    </row>
    <row r="166" spans="1:15" ht="14.1" customHeight="1">
      <c r="A166" s="677"/>
      <c r="B166" s="678"/>
      <c r="C166" s="158"/>
      <c r="D166" s="158"/>
      <c r="E166" s="679"/>
      <c r="F166" s="680"/>
      <c r="G166" s="99"/>
      <c r="H166" s="566"/>
      <c r="I166" s="566"/>
      <c r="J166" s="566"/>
      <c r="K166" s="507"/>
    </row>
    <row r="167" spans="1:15" ht="14.1" customHeight="1">
      <c r="A167" s="681" t="s">
        <v>215</v>
      </c>
      <c r="B167" s="969" t="s">
        <v>230</v>
      </c>
      <c r="C167" s="970"/>
      <c r="D167" s="887"/>
      <c r="E167" s="682">
        <f>SUM(E168:E170)</f>
        <v>900</v>
      </c>
      <c r="F167" s="683">
        <f>SUM(F168:F170)</f>
        <v>18761.5</v>
      </c>
      <c r="G167" s="682">
        <f>SUM(G168:G170)</f>
        <v>17579</v>
      </c>
      <c r="H167" s="888">
        <f>G167/E167*100</f>
        <v>1953.2222222222224</v>
      </c>
      <c r="I167" s="557"/>
      <c r="J167" s="557"/>
      <c r="K167" s="503">
        <f t="shared" si="10"/>
        <v>93.697199051248575</v>
      </c>
    </row>
    <row r="168" spans="1:15" ht="14.1" customHeight="1">
      <c r="A168" s="681"/>
      <c r="B168" s="665"/>
      <c r="C168" s="889" t="s">
        <v>913</v>
      </c>
      <c r="D168" s="684" t="s">
        <v>214</v>
      </c>
      <c r="E168" s="685">
        <v>0</v>
      </c>
      <c r="F168" s="159">
        <v>9518</v>
      </c>
      <c r="G168" s="99">
        <v>9518</v>
      </c>
      <c r="H168" s="686" t="s">
        <v>280</v>
      </c>
      <c r="I168" s="566"/>
      <c r="J168" s="566"/>
      <c r="K168" s="507">
        <f t="shared" si="10"/>
        <v>100</v>
      </c>
    </row>
    <row r="169" spans="1:15" ht="14.1" customHeight="1">
      <c r="A169" s="681"/>
      <c r="B169" s="665"/>
      <c r="C169" s="889" t="s">
        <v>914</v>
      </c>
      <c r="D169" s="684" t="s">
        <v>539</v>
      </c>
      <c r="E169" s="685">
        <v>0</v>
      </c>
      <c r="F169" s="159">
        <v>6482</v>
      </c>
      <c r="G169" s="99">
        <v>6472</v>
      </c>
      <c r="H169" s="686" t="s">
        <v>280</v>
      </c>
      <c r="I169" s="566"/>
      <c r="J169" s="566"/>
      <c r="K169" s="507">
        <f t="shared" si="10"/>
        <v>99.845726627584071</v>
      </c>
    </row>
    <row r="170" spans="1:15" ht="14.1" customHeight="1">
      <c r="A170" s="681"/>
      <c r="B170" s="665"/>
      <c r="C170" s="890" t="s">
        <v>413</v>
      </c>
      <c r="D170" s="160" t="s">
        <v>74</v>
      </c>
      <c r="E170" s="685">
        <v>900</v>
      </c>
      <c r="F170" s="159">
        <v>2761.5</v>
      </c>
      <c r="G170" s="60">
        <v>1589</v>
      </c>
      <c r="H170" s="686">
        <f>G170/E170*100</f>
        <v>176.55555555555554</v>
      </c>
      <c r="I170" s="566"/>
      <c r="J170" s="566"/>
      <c r="K170" s="507">
        <f t="shared" si="10"/>
        <v>57.541191381495558</v>
      </c>
    </row>
    <row r="171" spans="1:15" ht="14.1" customHeight="1">
      <c r="A171" s="677"/>
      <c r="B171" s="678"/>
      <c r="C171" s="158"/>
      <c r="D171" s="158"/>
      <c r="E171" s="679"/>
      <c r="F171" s="680"/>
      <c r="G171" s="99"/>
      <c r="H171" s="891"/>
      <c r="I171" s="891"/>
      <c r="J171" s="891"/>
      <c r="K171" s="892"/>
    </row>
    <row r="172" spans="1:15" ht="14.1" customHeight="1">
      <c r="A172" s="681" t="s">
        <v>404</v>
      </c>
      <c r="B172" s="969" t="s">
        <v>405</v>
      </c>
      <c r="C172" s="970"/>
      <c r="D172" s="160"/>
      <c r="E172" s="682">
        <f>SUM(E173:E174)</f>
        <v>0</v>
      </c>
      <c r="F172" s="683">
        <f>SUM(F173:F174)</f>
        <v>14239.3</v>
      </c>
      <c r="G172" s="682">
        <f>G173</f>
        <v>0</v>
      </c>
      <c r="H172" s="672" t="s">
        <v>280</v>
      </c>
      <c r="I172" s="687"/>
      <c r="J172" s="687"/>
      <c r="K172" s="503">
        <f t="shared" si="10"/>
        <v>0</v>
      </c>
    </row>
    <row r="173" spans="1:15" ht="14.1" customHeight="1">
      <c r="A173" s="688"/>
      <c r="B173" s="689"/>
      <c r="C173" s="156" t="s">
        <v>406</v>
      </c>
      <c r="D173" s="684" t="s">
        <v>407</v>
      </c>
      <c r="E173" s="685">
        <v>0</v>
      </c>
      <c r="F173" s="159">
        <v>14239.3</v>
      </c>
      <c r="G173" s="60">
        <v>0</v>
      </c>
      <c r="H173" s="686" t="s">
        <v>280</v>
      </c>
      <c r="I173" s="690"/>
      <c r="J173" s="690"/>
      <c r="K173" s="507">
        <f t="shared" si="10"/>
        <v>0</v>
      </c>
      <c r="M173" s="133"/>
      <c r="O173" s="133"/>
    </row>
    <row r="174" spans="1:15" ht="14.1" customHeight="1" thickBot="1">
      <c r="A174" s="692"/>
      <c r="B174" s="689"/>
      <c r="C174" s="693"/>
      <c r="D174" s="161"/>
      <c r="E174" s="694"/>
      <c r="F174" s="695"/>
      <c r="G174" s="162"/>
      <c r="H174" s="696"/>
      <c r="I174" s="690"/>
      <c r="J174" s="690"/>
      <c r="K174" s="697"/>
      <c r="M174" s="133"/>
      <c r="O174" s="133"/>
    </row>
    <row r="175" spans="1:15" ht="16.5" customHeight="1" thickBot="1">
      <c r="A175" s="440" t="s">
        <v>16</v>
      </c>
      <c r="B175" s="441"/>
      <c r="C175" s="441"/>
      <c r="D175" s="441"/>
      <c r="E175" s="44">
        <f>E8+E167+E172</f>
        <v>223456</v>
      </c>
      <c r="F175" s="372">
        <f>F8+F167+F172</f>
        <v>328958.8</v>
      </c>
      <c r="G175" s="44">
        <f>G8+G167+G172</f>
        <v>313509.41099999996</v>
      </c>
      <c r="H175" s="698">
        <f t="shared" si="11"/>
        <v>140.30028775239867</v>
      </c>
      <c r="I175" s="699"/>
      <c r="J175" s="699"/>
      <c r="K175" s="700">
        <f t="shared" si="10"/>
        <v>95.303548955066702</v>
      </c>
      <c r="M175" s="133"/>
      <c r="O175" s="133"/>
    </row>
    <row r="176" spans="1:15" ht="16.5" thickBot="1">
      <c r="A176" s="89"/>
      <c r="B176" s="89"/>
      <c r="C176" s="89"/>
      <c r="D176" s="89"/>
      <c r="E176" s="701"/>
      <c r="F176" s="702"/>
      <c r="G176" s="96"/>
      <c r="H176" s="634"/>
      <c r="I176" s="634"/>
      <c r="J176" s="634"/>
      <c r="K176" s="634"/>
      <c r="M176" s="133"/>
      <c r="O176" s="133"/>
    </row>
    <row r="177" spans="1:15">
      <c r="A177" s="7" t="s">
        <v>1</v>
      </c>
      <c r="B177" s="8" t="s">
        <v>2</v>
      </c>
      <c r="C177" s="45" t="s">
        <v>3</v>
      </c>
      <c r="D177" s="9"/>
      <c r="E177" s="8" t="s">
        <v>4</v>
      </c>
      <c r="F177" s="8" t="s">
        <v>312</v>
      </c>
      <c r="G177" s="8" t="s">
        <v>314</v>
      </c>
      <c r="H177" s="8" t="s">
        <v>316</v>
      </c>
      <c r="I177" s="10" t="s">
        <v>316</v>
      </c>
      <c r="J177" s="512"/>
      <c r="K177" s="10" t="s">
        <v>316</v>
      </c>
      <c r="M177" s="133"/>
      <c r="O177" s="133"/>
    </row>
    <row r="178" spans="1:15">
      <c r="A178" s="11" t="s">
        <v>5</v>
      </c>
      <c r="B178" s="12" t="s">
        <v>6</v>
      </c>
      <c r="C178" s="46" t="s">
        <v>7</v>
      </c>
      <c r="D178" s="13" t="s">
        <v>8</v>
      </c>
      <c r="E178" s="12" t="s">
        <v>231</v>
      </c>
      <c r="F178" s="12" t="s">
        <v>319</v>
      </c>
      <c r="G178" s="12" t="s">
        <v>315</v>
      </c>
      <c r="H178" s="12" t="s">
        <v>317</v>
      </c>
      <c r="I178" s="14" t="s">
        <v>318</v>
      </c>
      <c r="K178" s="14" t="s">
        <v>318</v>
      </c>
      <c r="M178" s="133"/>
      <c r="O178" s="133"/>
    </row>
    <row r="179" spans="1:15" ht="15.75" thickBot="1">
      <c r="A179" s="11" t="s">
        <v>9</v>
      </c>
      <c r="B179" s="12" t="s">
        <v>10</v>
      </c>
      <c r="C179" s="46"/>
      <c r="D179" s="13"/>
      <c r="E179" s="12" t="s">
        <v>408</v>
      </c>
      <c r="F179" s="16">
        <v>46022</v>
      </c>
      <c r="G179" s="513">
        <f>F179</f>
        <v>46022</v>
      </c>
      <c r="H179" s="513" t="s">
        <v>211</v>
      </c>
      <c r="I179" s="14" t="s">
        <v>211</v>
      </c>
      <c r="K179" s="14" t="s">
        <v>211</v>
      </c>
      <c r="M179" s="133"/>
      <c r="O179" s="133"/>
    </row>
    <row r="180" spans="1:15" ht="15.75">
      <c r="A180" s="18" t="s">
        <v>320</v>
      </c>
      <c r="B180" s="91"/>
      <c r="C180" s="19"/>
      <c r="D180" s="20"/>
      <c r="E180" s="92"/>
      <c r="F180" s="514"/>
      <c r="G180" s="92"/>
      <c r="H180" s="91"/>
      <c r="I180" s="515"/>
      <c r="J180" s="512"/>
      <c r="K180" s="515"/>
      <c r="M180" s="133"/>
      <c r="O180" s="133"/>
    </row>
    <row r="181" spans="1:15">
      <c r="A181" s="163" t="s">
        <v>32</v>
      </c>
      <c r="B181" s="943" t="s">
        <v>33</v>
      </c>
      <c r="C181" s="943"/>
      <c r="D181" s="943"/>
      <c r="E181" s="57">
        <f>SUM(E182:E201)</f>
        <v>8670</v>
      </c>
      <c r="F181" s="703">
        <f>SUM(F182:F201)</f>
        <v>17062.2</v>
      </c>
      <c r="G181" s="57">
        <f>SUM(G182:G201)</f>
        <v>8395</v>
      </c>
      <c r="H181" s="557">
        <f>G181/E181*100</f>
        <v>96.828143021914642</v>
      </c>
      <c r="I181" s="557"/>
      <c r="J181" s="557"/>
      <c r="K181" s="503">
        <f>G181/F181*100</f>
        <v>49.202330297382517</v>
      </c>
      <c r="M181" s="133"/>
      <c r="O181" s="133"/>
    </row>
    <row r="182" spans="1:15">
      <c r="A182" s="93" t="s">
        <v>32</v>
      </c>
      <c r="B182" s="59" t="s">
        <v>482</v>
      </c>
      <c r="C182" s="704" t="s">
        <v>687</v>
      </c>
      <c r="D182" s="705" t="s">
        <v>342</v>
      </c>
      <c r="E182" s="164">
        <v>350</v>
      </c>
      <c r="F182" s="159">
        <v>350</v>
      </c>
      <c r="G182" s="99">
        <v>350</v>
      </c>
      <c r="H182" s="566">
        <f>G182/E182*100</f>
        <v>100</v>
      </c>
      <c r="I182" s="566"/>
      <c r="J182" s="566"/>
      <c r="K182" s="507">
        <f>G182/F182*100</f>
        <v>100</v>
      </c>
    </row>
    <row r="183" spans="1:15">
      <c r="A183" s="93" t="s">
        <v>32</v>
      </c>
      <c r="B183" s="59" t="s">
        <v>483</v>
      </c>
      <c r="C183" s="704" t="s">
        <v>688</v>
      </c>
      <c r="D183" s="705" t="s">
        <v>342</v>
      </c>
      <c r="E183" s="164">
        <v>305</v>
      </c>
      <c r="F183" s="159">
        <f t="shared" ref="F183:F196" si="12">E183</f>
        <v>305</v>
      </c>
      <c r="G183" s="99">
        <v>305</v>
      </c>
      <c r="H183" s="566">
        <f t="shared" ref="H183:H342" si="13">G183/E183*100</f>
        <v>100</v>
      </c>
      <c r="I183" s="566"/>
      <c r="J183" s="566"/>
      <c r="K183" s="507">
        <f t="shared" ref="K183:K201" si="14">G183/F183*100</f>
        <v>100</v>
      </c>
    </row>
    <row r="184" spans="1:15">
      <c r="A184" s="93" t="s">
        <v>32</v>
      </c>
      <c r="B184" s="59" t="s">
        <v>484</v>
      </c>
      <c r="C184" s="704" t="s">
        <v>689</v>
      </c>
      <c r="D184" s="705" t="s">
        <v>342</v>
      </c>
      <c r="E184" s="164">
        <v>165</v>
      </c>
      <c r="F184" s="159">
        <f t="shared" si="12"/>
        <v>165</v>
      </c>
      <c r="G184" s="99">
        <v>165</v>
      </c>
      <c r="H184" s="566">
        <f t="shared" si="13"/>
        <v>100</v>
      </c>
      <c r="I184" s="566"/>
      <c r="J184" s="566"/>
      <c r="K184" s="507">
        <f t="shared" si="14"/>
        <v>100</v>
      </c>
    </row>
    <row r="185" spans="1:15">
      <c r="A185" s="93" t="s">
        <v>32</v>
      </c>
      <c r="B185" s="59" t="s">
        <v>485</v>
      </c>
      <c r="C185" s="704" t="s">
        <v>690</v>
      </c>
      <c r="D185" s="705" t="s">
        <v>342</v>
      </c>
      <c r="E185" s="164">
        <v>80</v>
      </c>
      <c r="F185" s="159">
        <f t="shared" si="12"/>
        <v>80</v>
      </c>
      <c r="G185" s="99">
        <v>80</v>
      </c>
      <c r="H185" s="566">
        <f t="shared" si="13"/>
        <v>100</v>
      </c>
      <c r="I185" s="566"/>
      <c r="J185" s="566"/>
      <c r="K185" s="507">
        <f t="shared" si="14"/>
        <v>100</v>
      </c>
    </row>
    <row r="186" spans="1:15">
      <c r="A186" s="93" t="s">
        <v>32</v>
      </c>
      <c r="B186" s="59" t="s">
        <v>486</v>
      </c>
      <c r="C186" s="704" t="s">
        <v>691</v>
      </c>
      <c r="D186" s="156" t="s">
        <v>74</v>
      </c>
      <c r="E186" s="164">
        <v>850</v>
      </c>
      <c r="F186" s="159">
        <f t="shared" si="12"/>
        <v>850</v>
      </c>
      <c r="G186" s="99">
        <v>575</v>
      </c>
      <c r="H186" s="566">
        <f t="shared" si="13"/>
        <v>67.64705882352942</v>
      </c>
      <c r="I186" s="566"/>
      <c r="J186" s="566"/>
      <c r="K186" s="507">
        <f t="shared" si="14"/>
        <v>67.64705882352942</v>
      </c>
    </row>
    <row r="187" spans="1:15">
      <c r="A187" s="93" t="s">
        <v>32</v>
      </c>
      <c r="B187" s="59" t="s">
        <v>487</v>
      </c>
      <c r="C187" s="704" t="s">
        <v>692</v>
      </c>
      <c r="D187" s="156" t="s">
        <v>74</v>
      </c>
      <c r="E187" s="164">
        <v>810</v>
      </c>
      <c r="F187" s="159">
        <f t="shared" si="12"/>
        <v>810</v>
      </c>
      <c r="G187" s="99">
        <v>810</v>
      </c>
      <c r="H187" s="566">
        <f t="shared" si="13"/>
        <v>100</v>
      </c>
      <c r="I187" s="566"/>
      <c r="J187" s="566"/>
      <c r="K187" s="507">
        <f t="shared" si="14"/>
        <v>100</v>
      </c>
    </row>
    <row r="188" spans="1:15">
      <c r="A188" s="93" t="s">
        <v>32</v>
      </c>
      <c r="B188" s="59" t="s">
        <v>488</v>
      </c>
      <c r="C188" s="704" t="s">
        <v>693</v>
      </c>
      <c r="D188" s="156" t="s">
        <v>74</v>
      </c>
      <c r="E188" s="164">
        <v>870</v>
      </c>
      <c r="F188" s="159">
        <f t="shared" si="12"/>
        <v>870</v>
      </c>
      <c r="G188" s="99">
        <v>870</v>
      </c>
      <c r="H188" s="566">
        <f t="shared" si="13"/>
        <v>100</v>
      </c>
      <c r="I188" s="566"/>
      <c r="J188" s="566"/>
      <c r="K188" s="507">
        <f t="shared" si="14"/>
        <v>100</v>
      </c>
    </row>
    <row r="189" spans="1:15">
      <c r="A189" s="93" t="s">
        <v>32</v>
      </c>
      <c r="B189" s="59" t="s">
        <v>489</v>
      </c>
      <c r="C189" s="704" t="s">
        <v>694</v>
      </c>
      <c r="D189" s="156" t="s">
        <v>74</v>
      </c>
      <c r="E189" s="164">
        <v>825</v>
      </c>
      <c r="F189" s="159">
        <f t="shared" si="12"/>
        <v>825</v>
      </c>
      <c r="G189" s="99">
        <v>825</v>
      </c>
      <c r="H189" s="566">
        <f t="shared" si="13"/>
        <v>100</v>
      </c>
      <c r="I189" s="566"/>
      <c r="J189" s="566"/>
      <c r="K189" s="507">
        <f t="shared" si="14"/>
        <v>100</v>
      </c>
    </row>
    <row r="190" spans="1:15">
      <c r="A190" s="93" t="s">
        <v>32</v>
      </c>
      <c r="B190" s="59" t="s">
        <v>490</v>
      </c>
      <c r="C190" s="704" t="s">
        <v>695</v>
      </c>
      <c r="D190" s="156" t="s">
        <v>74</v>
      </c>
      <c r="E190" s="164">
        <v>1200</v>
      </c>
      <c r="F190" s="159">
        <f t="shared" si="12"/>
        <v>1200</v>
      </c>
      <c r="G190" s="99">
        <v>1200</v>
      </c>
      <c r="H190" s="566">
        <f t="shared" si="13"/>
        <v>100</v>
      </c>
      <c r="I190" s="566"/>
      <c r="J190" s="566"/>
      <c r="K190" s="507">
        <f t="shared" si="14"/>
        <v>100</v>
      </c>
    </row>
    <row r="191" spans="1:15">
      <c r="A191" s="93" t="s">
        <v>32</v>
      </c>
      <c r="B191" s="59" t="s">
        <v>491</v>
      </c>
      <c r="C191" s="704" t="s">
        <v>498</v>
      </c>
      <c r="D191" s="156" t="s">
        <v>74</v>
      </c>
      <c r="E191" s="164">
        <v>1815</v>
      </c>
      <c r="F191" s="159">
        <v>0</v>
      </c>
      <c r="G191" s="99">
        <v>0</v>
      </c>
      <c r="H191" s="566">
        <f t="shared" si="13"/>
        <v>0</v>
      </c>
      <c r="I191" s="566"/>
      <c r="J191" s="566"/>
      <c r="K191" s="691" t="s">
        <v>280</v>
      </c>
    </row>
    <row r="192" spans="1:15">
      <c r="A192" s="93" t="s">
        <v>32</v>
      </c>
      <c r="B192" s="59" t="s">
        <v>492</v>
      </c>
      <c r="C192" s="704" t="s">
        <v>696</v>
      </c>
      <c r="D192" s="705" t="s">
        <v>342</v>
      </c>
      <c r="E192" s="164">
        <v>150</v>
      </c>
      <c r="F192" s="159">
        <f t="shared" si="12"/>
        <v>150</v>
      </c>
      <c r="G192" s="99">
        <v>150</v>
      </c>
      <c r="H192" s="566">
        <f t="shared" si="13"/>
        <v>100</v>
      </c>
      <c r="I192" s="566"/>
      <c r="J192" s="566"/>
      <c r="K192" s="507">
        <f t="shared" si="14"/>
        <v>100</v>
      </c>
    </row>
    <row r="193" spans="1:15">
      <c r="A193" s="93" t="s">
        <v>32</v>
      </c>
      <c r="B193" s="59" t="s">
        <v>493</v>
      </c>
      <c r="C193" s="704" t="s">
        <v>697</v>
      </c>
      <c r="D193" s="705" t="s">
        <v>342</v>
      </c>
      <c r="E193" s="164">
        <v>100</v>
      </c>
      <c r="F193" s="159">
        <f t="shared" si="12"/>
        <v>100</v>
      </c>
      <c r="G193" s="99">
        <v>100</v>
      </c>
      <c r="H193" s="566">
        <f t="shared" si="13"/>
        <v>100</v>
      </c>
      <c r="I193" s="566"/>
      <c r="J193" s="566"/>
      <c r="K193" s="507">
        <f t="shared" si="14"/>
        <v>100</v>
      </c>
    </row>
    <row r="194" spans="1:15">
      <c r="A194" s="93" t="s">
        <v>32</v>
      </c>
      <c r="B194" s="59" t="s">
        <v>494</v>
      </c>
      <c r="C194" s="704" t="s">
        <v>499</v>
      </c>
      <c r="D194" s="705" t="s">
        <v>342</v>
      </c>
      <c r="E194" s="164">
        <v>380</v>
      </c>
      <c r="F194" s="159">
        <f t="shared" si="12"/>
        <v>380</v>
      </c>
      <c r="G194" s="99">
        <v>380</v>
      </c>
      <c r="H194" s="566">
        <f t="shared" si="13"/>
        <v>100</v>
      </c>
      <c r="I194" s="566"/>
      <c r="J194" s="566"/>
      <c r="K194" s="507">
        <f t="shared" si="14"/>
        <v>100</v>
      </c>
    </row>
    <row r="195" spans="1:15">
      <c r="A195" s="93" t="s">
        <v>32</v>
      </c>
      <c r="B195" s="59" t="s">
        <v>495</v>
      </c>
      <c r="C195" s="704" t="s">
        <v>500</v>
      </c>
      <c r="D195" s="705" t="s">
        <v>342</v>
      </c>
      <c r="E195" s="164">
        <v>190</v>
      </c>
      <c r="F195" s="159">
        <f t="shared" si="12"/>
        <v>190</v>
      </c>
      <c r="G195" s="99">
        <v>190</v>
      </c>
      <c r="H195" s="566">
        <f t="shared" si="13"/>
        <v>100</v>
      </c>
      <c r="I195" s="566"/>
      <c r="J195" s="566"/>
      <c r="K195" s="507">
        <f t="shared" si="14"/>
        <v>100</v>
      </c>
    </row>
    <row r="196" spans="1:15">
      <c r="A196" s="93" t="s">
        <v>32</v>
      </c>
      <c r="B196" s="59" t="s">
        <v>496</v>
      </c>
      <c r="C196" s="704" t="s">
        <v>501</v>
      </c>
      <c r="D196" s="156" t="s">
        <v>74</v>
      </c>
      <c r="E196" s="164">
        <v>400</v>
      </c>
      <c r="F196" s="159">
        <f t="shared" si="12"/>
        <v>400</v>
      </c>
      <c r="G196" s="99">
        <v>400</v>
      </c>
      <c r="H196" s="566">
        <f t="shared" si="13"/>
        <v>100</v>
      </c>
      <c r="I196" s="566"/>
      <c r="J196" s="566"/>
      <c r="K196" s="507">
        <f t="shared" si="14"/>
        <v>100</v>
      </c>
    </row>
    <row r="197" spans="1:15">
      <c r="A197" s="93" t="s">
        <v>32</v>
      </c>
      <c r="B197" s="59" t="s">
        <v>497</v>
      </c>
      <c r="C197" s="704" t="s">
        <v>502</v>
      </c>
      <c r="D197" s="156" t="s">
        <v>74</v>
      </c>
      <c r="E197" s="164">
        <v>180</v>
      </c>
      <c r="F197" s="159">
        <v>0</v>
      </c>
      <c r="G197" s="60">
        <v>0</v>
      </c>
      <c r="H197" s="566">
        <f t="shared" si="13"/>
        <v>0</v>
      </c>
      <c r="I197" s="566"/>
      <c r="J197" s="566"/>
      <c r="K197" s="691" t="s">
        <v>280</v>
      </c>
    </row>
    <row r="198" spans="1:15">
      <c r="A198" s="93" t="s">
        <v>32</v>
      </c>
      <c r="B198" s="59" t="s">
        <v>567</v>
      </c>
      <c r="C198" s="704" t="s">
        <v>568</v>
      </c>
      <c r="D198" s="156" t="s">
        <v>74</v>
      </c>
      <c r="E198" s="164">
        <v>0</v>
      </c>
      <c r="F198" s="159">
        <v>1342.8</v>
      </c>
      <c r="G198" s="99">
        <v>1343</v>
      </c>
      <c r="H198" s="686" t="s">
        <v>280</v>
      </c>
      <c r="I198" s="566"/>
      <c r="J198" s="566"/>
      <c r="K198" s="507">
        <f t="shared" si="14"/>
        <v>100.0148942508192</v>
      </c>
    </row>
    <row r="199" spans="1:15">
      <c r="A199" s="93" t="s">
        <v>32</v>
      </c>
      <c r="B199" s="59" t="s">
        <v>569</v>
      </c>
      <c r="C199" s="704" t="s">
        <v>570</v>
      </c>
      <c r="D199" s="156" t="s">
        <v>74</v>
      </c>
      <c r="E199" s="164">
        <v>0</v>
      </c>
      <c r="F199" s="159">
        <v>472.2</v>
      </c>
      <c r="G199" s="60">
        <v>472</v>
      </c>
      <c r="H199" s="686" t="s">
        <v>280</v>
      </c>
      <c r="I199" s="566"/>
      <c r="J199" s="566"/>
      <c r="K199" s="507">
        <f t="shared" si="14"/>
        <v>99.957645065650141</v>
      </c>
    </row>
    <row r="200" spans="1:15">
      <c r="A200" s="93" t="s">
        <v>32</v>
      </c>
      <c r="B200" s="59" t="s">
        <v>698</v>
      </c>
      <c r="C200" s="704" t="s">
        <v>699</v>
      </c>
      <c r="D200" s="156" t="s">
        <v>74</v>
      </c>
      <c r="E200" s="164">
        <v>0</v>
      </c>
      <c r="F200" s="159">
        <v>180</v>
      </c>
      <c r="G200" s="60">
        <v>180</v>
      </c>
      <c r="H200" s="686" t="s">
        <v>280</v>
      </c>
      <c r="I200" s="566"/>
      <c r="J200" s="566"/>
      <c r="K200" s="507">
        <f t="shared" si="14"/>
        <v>100</v>
      </c>
    </row>
    <row r="201" spans="1:15" ht="15.75" thickBot="1">
      <c r="A201" s="706" t="s">
        <v>32</v>
      </c>
      <c r="B201" s="707" t="s">
        <v>571</v>
      </c>
      <c r="C201" s="708" t="s">
        <v>572</v>
      </c>
      <c r="D201" s="165" t="s">
        <v>74</v>
      </c>
      <c r="E201" s="709">
        <v>0</v>
      </c>
      <c r="F201" s="710">
        <v>8392.2000000000007</v>
      </c>
      <c r="G201" s="711">
        <v>0</v>
      </c>
      <c r="H201" s="712" t="s">
        <v>280</v>
      </c>
      <c r="I201" s="713"/>
      <c r="J201" s="713"/>
      <c r="K201" s="582">
        <f t="shared" si="14"/>
        <v>0</v>
      </c>
    </row>
    <row r="202" spans="1:15">
      <c r="A202" s="521"/>
      <c r="B202" s="521"/>
      <c r="C202" s="714"/>
      <c r="D202" s="715"/>
      <c r="E202" s="716"/>
      <c r="F202" s="649"/>
      <c r="G202" s="96"/>
      <c r="H202" s="634"/>
      <c r="I202" s="634"/>
      <c r="J202" s="634"/>
      <c r="K202" s="634"/>
    </row>
    <row r="203" spans="1:15" ht="15.75" thickBot="1">
      <c r="A203" s="521"/>
      <c r="B203" s="521"/>
      <c r="C203" s="714"/>
      <c r="D203" s="715"/>
      <c r="E203" s="716"/>
      <c r="F203" s="649"/>
      <c r="G203" s="96"/>
      <c r="H203" s="634"/>
      <c r="I203" s="634"/>
      <c r="J203" s="634"/>
      <c r="K203" s="6" t="s">
        <v>814</v>
      </c>
    </row>
    <row r="204" spans="1:15">
      <c r="A204" s="7" t="s">
        <v>1</v>
      </c>
      <c r="B204" s="8" t="s">
        <v>2</v>
      </c>
      <c r="C204" s="45" t="s">
        <v>3</v>
      </c>
      <c r="D204" s="9"/>
      <c r="E204" s="8" t="s">
        <v>4</v>
      </c>
      <c r="F204" s="8" t="s">
        <v>312</v>
      </c>
      <c r="G204" s="8" t="s">
        <v>314</v>
      </c>
      <c r="H204" s="8" t="s">
        <v>316</v>
      </c>
      <c r="I204" s="10" t="s">
        <v>316</v>
      </c>
      <c r="J204" s="512"/>
      <c r="K204" s="10" t="s">
        <v>316</v>
      </c>
    </row>
    <row r="205" spans="1:15">
      <c r="A205" s="11" t="s">
        <v>5</v>
      </c>
      <c r="B205" s="12" t="s">
        <v>6</v>
      </c>
      <c r="C205" s="46" t="s">
        <v>7</v>
      </c>
      <c r="D205" s="13" t="s">
        <v>8</v>
      </c>
      <c r="E205" s="12" t="s">
        <v>231</v>
      </c>
      <c r="F205" s="12" t="s">
        <v>319</v>
      </c>
      <c r="G205" s="12" t="s">
        <v>315</v>
      </c>
      <c r="H205" s="12" t="s">
        <v>317</v>
      </c>
      <c r="I205" s="14" t="s">
        <v>318</v>
      </c>
      <c r="K205" s="14" t="s">
        <v>318</v>
      </c>
    </row>
    <row r="206" spans="1:15" ht="15.75" thickBot="1">
      <c r="A206" s="11" t="s">
        <v>9</v>
      </c>
      <c r="B206" s="12" t="s">
        <v>10</v>
      </c>
      <c r="C206" s="46"/>
      <c r="D206" s="13"/>
      <c r="E206" s="12" t="s">
        <v>408</v>
      </c>
      <c r="F206" s="16">
        <v>46022</v>
      </c>
      <c r="G206" s="513">
        <f>F206</f>
        <v>46022</v>
      </c>
      <c r="H206" s="513" t="s">
        <v>211</v>
      </c>
      <c r="I206" s="14" t="s">
        <v>211</v>
      </c>
      <c r="K206" s="14" t="s">
        <v>211</v>
      </c>
    </row>
    <row r="207" spans="1:15" ht="15.75">
      <c r="A207" s="18" t="s">
        <v>320</v>
      </c>
      <c r="B207" s="91"/>
      <c r="C207" s="19"/>
      <c r="D207" s="20"/>
      <c r="E207" s="92"/>
      <c r="F207" s="514"/>
      <c r="G207" s="92"/>
      <c r="H207" s="91"/>
      <c r="I207" s="515"/>
      <c r="J207" s="512"/>
      <c r="K207" s="515"/>
      <c r="M207" s="155"/>
      <c r="O207" s="155"/>
    </row>
    <row r="208" spans="1:15">
      <c r="A208" s="163" t="s">
        <v>32</v>
      </c>
      <c r="B208" s="942" t="s">
        <v>343</v>
      </c>
      <c r="C208" s="943"/>
      <c r="D208" s="944"/>
      <c r="E208" s="58">
        <f>SUM(E209:E247)+SUM(E256:E296)+SUM(E304:E341)</f>
        <v>58645</v>
      </c>
      <c r="F208" s="58">
        <f>SUM(F209:F247)+SUM(F256:F296)+SUM(F304:F341)</f>
        <v>419146.2</v>
      </c>
      <c r="G208" s="57">
        <f>SUM(G209:G247)+SUM(G256:G296)+SUM(G304:G341)</f>
        <v>240418</v>
      </c>
      <c r="H208" s="557">
        <f t="shared" ref="H208" si="15">G208/E208*100</f>
        <v>409.95481285702107</v>
      </c>
      <c r="I208" s="557"/>
      <c r="J208" s="557"/>
      <c r="K208" s="503">
        <f t="shared" ref="K208:K245" si="16">G208/F208*100</f>
        <v>57.358983571841989</v>
      </c>
      <c r="M208" s="133"/>
      <c r="O208" s="155"/>
    </row>
    <row r="209" spans="1:15">
      <c r="A209" s="93" t="s">
        <v>32</v>
      </c>
      <c r="B209" s="59" t="s">
        <v>393</v>
      </c>
      <c r="C209" s="704" t="s">
        <v>345</v>
      </c>
      <c r="D209" s="705" t="s">
        <v>669</v>
      </c>
      <c r="E209" s="164">
        <v>0</v>
      </c>
      <c r="F209" s="159">
        <v>477.1</v>
      </c>
      <c r="G209" s="99">
        <v>438</v>
      </c>
      <c r="H209" s="686" t="s">
        <v>280</v>
      </c>
      <c r="I209" s="566"/>
      <c r="J209" s="566"/>
      <c r="K209" s="507">
        <f>G209/F209*100</f>
        <v>91.804653112555016</v>
      </c>
      <c r="M209" s="133"/>
      <c r="O209" s="155"/>
    </row>
    <row r="210" spans="1:15">
      <c r="A210" s="93" t="s">
        <v>32</v>
      </c>
      <c r="B210" s="59" t="s">
        <v>394</v>
      </c>
      <c r="C210" s="704" t="s">
        <v>346</v>
      </c>
      <c r="D210" s="705" t="s">
        <v>669</v>
      </c>
      <c r="E210" s="164">
        <v>0</v>
      </c>
      <c r="F210" s="159">
        <v>478.8</v>
      </c>
      <c r="G210" s="99">
        <v>436</v>
      </c>
      <c r="H210" s="686" t="s">
        <v>280</v>
      </c>
      <c r="I210" s="566"/>
      <c r="J210" s="566"/>
      <c r="K210" s="507">
        <f t="shared" si="16"/>
        <v>91.060985797827897</v>
      </c>
      <c r="M210" s="133"/>
      <c r="O210" s="155"/>
    </row>
    <row r="211" spans="1:15">
      <c r="A211" s="93" t="s">
        <v>32</v>
      </c>
      <c r="B211" s="59" t="s">
        <v>395</v>
      </c>
      <c r="C211" s="704" t="s">
        <v>347</v>
      </c>
      <c r="D211" s="705" t="s">
        <v>669</v>
      </c>
      <c r="E211" s="164">
        <v>0</v>
      </c>
      <c r="F211" s="159">
        <v>384.3</v>
      </c>
      <c r="G211" s="99">
        <v>342</v>
      </c>
      <c r="H211" s="686" t="s">
        <v>280</v>
      </c>
      <c r="I211" s="566"/>
      <c r="J211" s="566"/>
      <c r="K211" s="507">
        <f t="shared" si="16"/>
        <v>88.992974238875874</v>
      </c>
      <c r="M211" s="133"/>
      <c r="O211" s="155"/>
    </row>
    <row r="212" spans="1:15">
      <c r="A212" s="93" t="s">
        <v>32</v>
      </c>
      <c r="B212" s="59" t="s">
        <v>396</v>
      </c>
      <c r="C212" s="704" t="s">
        <v>670</v>
      </c>
      <c r="D212" s="705" t="s">
        <v>669</v>
      </c>
      <c r="E212" s="164">
        <v>0</v>
      </c>
      <c r="F212" s="159">
        <v>258.5</v>
      </c>
      <c r="G212" s="99">
        <v>202</v>
      </c>
      <c r="H212" s="686" t="s">
        <v>280</v>
      </c>
      <c r="I212" s="566"/>
      <c r="J212" s="566"/>
      <c r="K212" s="507">
        <f t="shared" si="16"/>
        <v>78.143133462282393</v>
      </c>
      <c r="M212" s="133"/>
      <c r="O212" s="155"/>
    </row>
    <row r="213" spans="1:15">
      <c r="A213" s="93" t="s">
        <v>32</v>
      </c>
      <c r="B213" s="59" t="s">
        <v>397</v>
      </c>
      <c r="C213" s="704" t="s">
        <v>348</v>
      </c>
      <c r="D213" s="705" t="s">
        <v>669</v>
      </c>
      <c r="E213" s="164">
        <v>0</v>
      </c>
      <c r="F213" s="159">
        <v>2216.3000000000002</v>
      </c>
      <c r="G213" s="99">
        <v>292</v>
      </c>
      <c r="H213" s="686" t="s">
        <v>280</v>
      </c>
      <c r="I213" s="566"/>
      <c r="J213" s="566"/>
      <c r="K213" s="507">
        <f t="shared" si="16"/>
        <v>13.175111672607498</v>
      </c>
      <c r="M213" s="155"/>
      <c r="O213" s="155"/>
    </row>
    <row r="214" spans="1:15">
      <c r="A214" s="93" t="s">
        <v>32</v>
      </c>
      <c r="B214" s="59" t="s">
        <v>398</v>
      </c>
      <c r="C214" s="704" t="s">
        <v>671</v>
      </c>
      <c r="D214" s="705" t="s">
        <v>669</v>
      </c>
      <c r="E214" s="164">
        <v>0</v>
      </c>
      <c r="F214" s="159">
        <v>3291.4</v>
      </c>
      <c r="G214" s="99">
        <v>3184</v>
      </c>
      <c r="H214" s="686" t="s">
        <v>280</v>
      </c>
      <c r="I214" s="566"/>
      <c r="J214" s="566"/>
      <c r="K214" s="507">
        <f t="shared" si="16"/>
        <v>96.736950841587159</v>
      </c>
    </row>
    <row r="215" spans="1:15">
      <c r="A215" s="93" t="s">
        <v>32</v>
      </c>
      <c r="B215" s="59" t="s">
        <v>399</v>
      </c>
      <c r="C215" s="704" t="s">
        <v>672</v>
      </c>
      <c r="D215" s="705" t="s">
        <v>669</v>
      </c>
      <c r="E215" s="164">
        <v>0</v>
      </c>
      <c r="F215" s="159">
        <v>501.4</v>
      </c>
      <c r="G215" s="99">
        <v>417</v>
      </c>
      <c r="H215" s="686" t="s">
        <v>280</v>
      </c>
      <c r="I215" s="566"/>
      <c r="J215" s="566"/>
      <c r="K215" s="507">
        <f t="shared" si="16"/>
        <v>83.167132030315116</v>
      </c>
    </row>
    <row r="216" spans="1:15">
      <c r="A216" s="93" t="s">
        <v>32</v>
      </c>
      <c r="B216" s="59" t="s">
        <v>508</v>
      </c>
      <c r="C216" s="704" t="s">
        <v>631</v>
      </c>
      <c r="D216" s="705" t="s">
        <v>669</v>
      </c>
      <c r="E216" s="164">
        <v>4000</v>
      </c>
      <c r="F216" s="159">
        <v>0</v>
      </c>
      <c r="G216" s="99">
        <v>0</v>
      </c>
      <c r="H216" s="566">
        <f t="shared" ref="H216:H247" si="17">G216/E216</f>
        <v>0</v>
      </c>
      <c r="I216" s="566"/>
      <c r="J216" s="566"/>
      <c r="K216" s="691" t="s">
        <v>280</v>
      </c>
    </row>
    <row r="217" spans="1:15">
      <c r="A217" s="93" t="s">
        <v>32</v>
      </c>
      <c r="B217" s="59" t="s">
        <v>509</v>
      </c>
      <c r="C217" s="704" t="s">
        <v>632</v>
      </c>
      <c r="D217" s="705" t="s">
        <v>669</v>
      </c>
      <c r="E217" s="164">
        <v>4000</v>
      </c>
      <c r="F217" s="159">
        <v>0</v>
      </c>
      <c r="G217" s="99">
        <v>0</v>
      </c>
      <c r="H217" s="686">
        <f t="shared" si="17"/>
        <v>0</v>
      </c>
      <c r="I217" s="566"/>
      <c r="J217" s="566"/>
      <c r="K217" s="691" t="s">
        <v>280</v>
      </c>
    </row>
    <row r="218" spans="1:15">
      <c r="A218" s="93" t="s">
        <v>32</v>
      </c>
      <c r="B218" s="59" t="s">
        <v>510</v>
      </c>
      <c r="C218" s="704" t="s">
        <v>633</v>
      </c>
      <c r="D218" s="705" t="s">
        <v>669</v>
      </c>
      <c r="E218" s="164">
        <v>4000</v>
      </c>
      <c r="F218" s="159">
        <v>1210</v>
      </c>
      <c r="G218" s="99">
        <v>300</v>
      </c>
      <c r="H218" s="566">
        <f t="shared" si="17"/>
        <v>7.4999999999999997E-2</v>
      </c>
      <c r="I218" s="566"/>
      <c r="J218" s="566"/>
      <c r="K218" s="507">
        <f t="shared" si="16"/>
        <v>24.793388429752067</v>
      </c>
    </row>
    <row r="219" spans="1:15" ht="15" customHeight="1">
      <c r="A219" s="93" t="s">
        <v>32</v>
      </c>
      <c r="B219" s="59" t="s">
        <v>511</v>
      </c>
      <c r="C219" s="704" t="s">
        <v>634</v>
      </c>
      <c r="D219" s="705" t="s">
        <v>669</v>
      </c>
      <c r="E219" s="164">
        <v>250</v>
      </c>
      <c r="F219" s="159">
        <v>215.9</v>
      </c>
      <c r="G219" s="99">
        <v>216</v>
      </c>
      <c r="H219" s="566">
        <f t="shared" si="17"/>
        <v>0.86399999999999999</v>
      </c>
      <c r="I219" s="566"/>
      <c r="J219" s="566"/>
      <c r="K219" s="507">
        <f t="shared" si="16"/>
        <v>100.0463177396943</v>
      </c>
    </row>
    <row r="220" spans="1:15">
      <c r="A220" s="93" t="s">
        <v>32</v>
      </c>
      <c r="B220" s="59" t="s">
        <v>512</v>
      </c>
      <c r="C220" s="704" t="s">
        <v>673</v>
      </c>
      <c r="D220" s="705" t="s">
        <v>669</v>
      </c>
      <c r="E220" s="164">
        <v>200</v>
      </c>
      <c r="F220" s="159">
        <v>484.8</v>
      </c>
      <c r="G220" s="99">
        <v>485</v>
      </c>
      <c r="H220" s="566">
        <f t="shared" si="17"/>
        <v>2.4249999999999998</v>
      </c>
      <c r="I220" s="566"/>
      <c r="J220" s="566"/>
      <c r="K220" s="507">
        <f t="shared" si="16"/>
        <v>100.04125412541254</v>
      </c>
    </row>
    <row r="221" spans="1:15">
      <c r="A221" s="93" t="s">
        <v>32</v>
      </c>
      <c r="B221" s="59" t="s">
        <v>513</v>
      </c>
      <c r="C221" s="704" t="s">
        <v>635</v>
      </c>
      <c r="D221" s="705" t="s">
        <v>669</v>
      </c>
      <c r="E221" s="164">
        <v>428</v>
      </c>
      <c r="F221" s="159">
        <v>0</v>
      </c>
      <c r="G221" s="99">
        <v>0</v>
      </c>
      <c r="H221" s="566">
        <f t="shared" si="17"/>
        <v>0</v>
      </c>
      <c r="I221" s="566"/>
      <c r="J221" s="566"/>
      <c r="K221" s="691" t="s">
        <v>280</v>
      </c>
    </row>
    <row r="222" spans="1:15">
      <c r="A222" s="93" t="s">
        <v>32</v>
      </c>
      <c r="B222" s="59" t="s">
        <v>514</v>
      </c>
      <c r="C222" s="704" t="s">
        <v>674</v>
      </c>
      <c r="D222" s="705" t="s">
        <v>669</v>
      </c>
      <c r="E222" s="164">
        <v>427</v>
      </c>
      <c r="F222" s="159">
        <v>0</v>
      </c>
      <c r="G222" s="99">
        <v>0</v>
      </c>
      <c r="H222" s="566">
        <f t="shared" si="17"/>
        <v>0</v>
      </c>
      <c r="I222" s="566"/>
      <c r="J222" s="566"/>
      <c r="K222" s="691" t="s">
        <v>280</v>
      </c>
    </row>
    <row r="223" spans="1:15">
      <c r="A223" s="93" t="s">
        <v>32</v>
      </c>
      <c r="B223" s="59" t="s">
        <v>515</v>
      </c>
      <c r="C223" s="704" t="s">
        <v>675</v>
      </c>
      <c r="D223" s="705" t="s">
        <v>669</v>
      </c>
      <c r="E223" s="164">
        <v>1800</v>
      </c>
      <c r="F223" s="159">
        <v>1418.4</v>
      </c>
      <c r="G223" s="99">
        <v>1418</v>
      </c>
      <c r="H223" s="566">
        <f t="shared" si="17"/>
        <v>0.7877777777777778</v>
      </c>
      <c r="I223" s="566"/>
      <c r="J223" s="566"/>
      <c r="K223" s="507">
        <f t="shared" si="16"/>
        <v>99.971799210377881</v>
      </c>
    </row>
    <row r="224" spans="1:15" ht="15" customHeight="1">
      <c r="A224" s="93" t="s">
        <v>32</v>
      </c>
      <c r="B224" s="59" t="s">
        <v>516</v>
      </c>
      <c r="C224" s="704" t="s">
        <v>676</v>
      </c>
      <c r="D224" s="705" t="s">
        <v>669</v>
      </c>
      <c r="E224" s="164">
        <v>1100</v>
      </c>
      <c r="F224" s="159">
        <v>1053</v>
      </c>
      <c r="G224" s="99">
        <v>1053</v>
      </c>
      <c r="H224" s="566">
        <f t="shared" si="17"/>
        <v>0.95727272727272728</v>
      </c>
      <c r="I224" s="566"/>
      <c r="J224" s="566"/>
      <c r="K224" s="507">
        <f t="shared" si="16"/>
        <v>100</v>
      </c>
    </row>
    <row r="225" spans="1:11">
      <c r="A225" s="93" t="s">
        <v>32</v>
      </c>
      <c r="B225" s="59" t="s">
        <v>517</v>
      </c>
      <c r="C225" s="704" t="s">
        <v>636</v>
      </c>
      <c r="D225" s="705" t="s">
        <v>669</v>
      </c>
      <c r="E225" s="164">
        <v>1000</v>
      </c>
      <c r="F225" s="159">
        <v>1032.4000000000001</v>
      </c>
      <c r="G225" s="99">
        <v>1032</v>
      </c>
      <c r="H225" s="566">
        <f t="shared" si="17"/>
        <v>1.032</v>
      </c>
      <c r="I225" s="566"/>
      <c r="J225" s="566"/>
      <c r="K225" s="507">
        <f t="shared" si="16"/>
        <v>99.961255327392479</v>
      </c>
    </row>
    <row r="226" spans="1:11">
      <c r="A226" s="93" t="s">
        <v>32</v>
      </c>
      <c r="B226" s="59" t="s">
        <v>518</v>
      </c>
      <c r="C226" s="704" t="s">
        <v>637</v>
      </c>
      <c r="D226" s="705" t="s">
        <v>669</v>
      </c>
      <c r="E226" s="164">
        <v>700</v>
      </c>
      <c r="F226" s="159">
        <v>486.5</v>
      </c>
      <c r="G226" s="99">
        <v>487</v>
      </c>
      <c r="H226" s="566">
        <f t="shared" si="17"/>
        <v>0.69571428571428573</v>
      </c>
      <c r="I226" s="566"/>
      <c r="J226" s="566"/>
      <c r="K226" s="507">
        <f t="shared" si="16"/>
        <v>100.10277492291881</v>
      </c>
    </row>
    <row r="227" spans="1:11">
      <c r="A227" s="93" t="s">
        <v>32</v>
      </c>
      <c r="B227" s="59" t="s">
        <v>519</v>
      </c>
      <c r="C227" s="704" t="s">
        <v>677</v>
      </c>
      <c r="D227" s="705" t="s">
        <v>669</v>
      </c>
      <c r="E227" s="164">
        <v>500</v>
      </c>
      <c r="F227" s="159">
        <v>497.1</v>
      </c>
      <c r="G227" s="99">
        <v>497</v>
      </c>
      <c r="H227" s="566">
        <f t="shared" si="17"/>
        <v>0.99399999999999999</v>
      </c>
      <c r="I227" s="566"/>
      <c r="J227" s="566"/>
      <c r="K227" s="507">
        <f t="shared" si="16"/>
        <v>99.97988332327499</v>
      </c>
    </row>
    <row r="228" spans="1:11">
      <c r="A228" s="93" t="s">
        <v>32</v>
      </c>
      <c r="B228" s="59" t="s">
        <v>520</v>
      </c>
      <c r="C228" s="704" t="s">
        <v>638</v>
      </c>
      <c r="D228" s="705" t="s">
        <v>669</v>
      </c>
      <c r="E228" s="164">
        <v>200</v>
      </c>
      <c r="F228" s="159">
        <v>0</v>
      </c>
      <c r="G228" s="99">
        <v>0</v>
      </c>
      <c r="H228" s="566">
        <f t="shared" si="17"/>
        <v>0</v>
      </c>
      <c r="I228" s="566"/>
      <c r="J228" s="566"/>
      <c r="K228" s="691" t="s">
        <v>280</v>
      </c>
    </row>
    <row r="229" spans="1:11">
      <c r="A229" s="93" t="s">
        <v>32</v>
      </c>
      <c r="B229" s="59" t="s">
        <v>521</v>
      </c>
      <c r="C229" s="704" t="s">
        <v>678</v>
      </c>
      <c r="D229" s="705" t="s">
        <v>669</v>
      </c>
      <c r="E229" s="164">
        <v>1000</v>
      </c>
      <c r="F229" s="159">
        <v>0</v>
      </c>
      <c r="G229" s="99">
        <v>0</v>
      </c>
      <c r="H229" s="566">
        <f t="shared" si="17"/>
        <v>0</v>
      </c>
      <c r="I229" s="566"/>
      <c r="J229" s="566"/>
      <c r="K229" s="691" t="s">
        <v>280</v>
      </c>
    </row>
    <row r="230" spans="1:11">
      <c r="A230" s="93" t="s">
        <v>32</v>
      </c>
      <c r="B230" s="59" t="s">
        <v>522</v>
      </c>
      <c r="C230" s="704" t="s">
        <v>679</v>
      </c>
      <c r="D230" s="705" t="s">
        <v>669</v>
      </c>
      <c r="E230" s="164">
        <v>300</v>
      </c>
      <c r="F230" s="159">
        <v>583</v>
      </c>
      <c r="G230" s="99">
        <v>583</v>
      </c>
      <c r="H230" s="566">
        <f t="shared" si="17"/>
        <v>1.9433333333333334</v>
      </c>
      <c r="I230" s="566"/>
      <c r="J230" s="566"/>
      <c r="K230" s="507">
        <f t="shared" si="16"/>
        <v>100</v>
      </c>
    </row>
    <row r="231" spans="1:11">
      <c r="A231" s="93" t="s">
        <v>32</v>
      </c>
      <c r="B231" s="59" t="s">
        <v>523</v>
      </c>
      <c r="C231" s="704" t="s">
        <v>639</v>
      </c>
      <c r="D231" s="705" t="s">
        <v>669</v>
      </c>
      <c r="E231" s="164">
        <v>1300</v>
      </c>
      <c r="F231" s="159">
        <v>1415.5</v>
      </c>
      <c r="G231" s="99">
        <v>1415</v>
      </c>
      <c r="H231" s="566">
        <f t="shared" si="17"/>
        <v>1.0884615384615384</v>
      </c>
      <c r="I231" s="566"/>
      <c r="J231" s="566"/>
      <c r="K231" s="507">
        <f t="shared" si="16"/>
        <v>99.964676792652767</v>
      </c>
    </row>
    <row r="232" spans="1:11">
      <c r="A232" s="93" t="s">
        <v>32</v>
      </c>
      <c r="B232" s="59" t="s">
        <v>524</v>
      </c>
      <c r="C232" s="704" t="s">
        <v>640</v>
      </c>
      <c r="D232" s="705" t="s">
        <v>669</v>
      </c>
      <c r="E232" s="164">
        <v>7500</v>
      </c>
      <c r="F232" s="159">
        <v>892.5</v>
      </c>
      <c r="G232" s="99">
        <v>892</v>
      </c>
      <c r="H232" s="566">
        <f t="shared" si="17"/>
        <v>0.11893333333333334</v>
      </c>
      <c r="I232" s="566"/>
      <c r="J232" s="566"/>
      <c r="K232" s="507">
        <f t="shared" si="16"/>
        <v>99.943977591036415</v>
      </c>
    </row>
    <row r="233" spans="1:11">
      <c r="A233" s="93" t="s">
        <v>32</v>
      </c>
      <c r="B233" s="59" t="s">
        <v>400</v>
      </c>
      <c r="C233" s="704" t="s">
        <v>503</v>
      </c>
      <c r="D233" s="705" t="s">
        <v>669</v>
      </c>
      <c r="E233" s="164">
        <v>0</v>
      </c>
      <c r="F233" s="159">
        <v>212.8</v>
      </c>
      <c r="G233" s="99">
        <v>195</v>
      </c>
      <c r="H233" s="686" t="s">
        <v>280</v>
      </c>
      <c r="I233" s="566"/>
      <c r="J233" s="566"/>
      <c r="K233" s="507">
        <f t="shared" si="16"/>
        <v>91.635338345864653</v>
      </c>
    </row>
    <row r="234" spans="1:11" ht="15" customHeight="1">
      <c r="A234" s="93" t="s">
        <v>32</v>
      </c>
      <c r="B234" s="59" t="s">
        <v>525</v>
      </c>
      <c r="C234" s="704" t="s">
        <v>680</v>
      </c>
      <c r="D234" s="705" t="s">
        <v>669</v>
      </c>
      <c r="E234" s="164">
        <v>500</v>
      </c>
      <c r="F234" s="159">
        <v>122.5</v>
      </c>
      <c r="G234" s="99">
        <v>123</v>
      </c>
      <c r="H234" s="566">
        <f t="shared" si="17"/>
        <v>0.246</v>
      </c>
      <c r="I234" s="566"/>
      <c r="J234" s="566"/>
      <c r="K234" s="507">
        <f t="shared" si="16"/>
        <v>100.40816326530613</v>
      </c>
    </row>
    <row r="235" spans="1:11">
      <c r="A235" s="93" t="s">
        <v>32</v>
      </c>
      <c r="B235" s="59" t="s">
        <v>526</v>
      </c>
      <c r="C235" s="704" t="s">
        <v>641</v>
      </c>
      <c r="D235" s="705" t="s">
        <v>669</v>
      </c>
      <c r="E235" s="164">
        <v>500</v>
      </c>
      <c r="F235" s="159">
        <v>0</v>
      </c>
      <c r="G235" s="99">
        <v>0</v>
      </c>
      <c r="H235" s="566">
        <f t="shared" si="17"/>
        <v>0</v>
      </c>
      <c r="I235" s="566"/>
      <c r="J235" s="566"/>
      <c r="K235" s="691" t="s">
        <v>280</v>
      </c>
    </row>
    <row r="236" spans="1:11">
      <c r="A236" s="93" t="s">
        <v>32</v>
      </c>
      <c r="B236" s="59" t="s">
        <v>527</v>
      </c>
      <c r="C236" s="704" t="s">
        <v>681</v>
      </c>
      <c r="D236" s="705" t="s">
        <v>669</v>
      </c>
      <c r="E236" s="164">
        <v>95</v>
      </c>
      <c r="F236" s="159">
        <v>95</v>
      </c>
      <c r="G236" s="99">
        <v>95</v>
      </c>
      <c r="H236" s="566">
        <f t="shared" si="17"/>
        <v>1</v>
      </c>
      <c r="I236" s="566"/>
      <c r="J236" s="566"/>
      <c r="K236" s="507">
        <f t="shared" si="16"/>
        <v>100</v>
      </c>
    </row>
    <row r="237" spans="1:11" ht="15" customHeight="1">
      <c r="A237" s="93" t="s">
        <v>32</v>
      </c>
      <c r="B237" s="59" t="s">
        <v>528</v>
      </c>
      <c r="C237" s="704" t="s">
        <v>682</v>
      </c>
      <c r="D237" s="705" t="s">
        <v>669</v>
      </c>
      <c r="E237" s="164">
        <v>1000</v>
      </c>
      <c r="F237" s="159">
        <v>1256.7</v>
      </c>
      <c r="G237" s="99">
        <v>1257</v>
      </c>
      <c r="H237" s="566">
        <f t="shared" si="17"/>
        <v>1.2569999999999999</v>
      </c>
      <c r="I237" s="566"/>
      <c r="J237" s="566"/>
      <c r="K237" s="507">
        <f t="shared" si="16"/>
        <v>100.02387204583431</v>
      </c>
    </row>
    <row r="238" spans="1:11" ht="15" customHeight="1">
      <c r="A238" s="93" t="s">
        <v>32</v>
      </c>
      <c r="B238" s="59" t="s">
        <v>401</v>
      </c>
      <c r="C238" s="704" t="s">
        <v>683</v>
      </c>
      <c r="D238" s="705" t="s">
        <v>669</v>
      </c>
      <c r="E238" s="164">
        <v>0</v>
      </c>
      <c r="F238" s="159">
        <v>869.2</v>
      </c>
      <c r="G238" s="99">
        <v>869</v>
      </c>
      <c r="H238" s="686" t="s">
        <v>280</v>
      </c>
      <c r="I238" s="566"/>
      <c r="J238" s="566"/>
      <c r="K238" s="507">
        <f t="shared" si="16"/>
        <v>99.976990335941082</v>
      </c>
    </row>
    <row r="239" spans="1:11" ht="15" customHeight="1">
      <c r="A239" s="93" t="s">
        <v>32</v>
      </c>
      <c r="B239" s="59" t="s">
        <v>529</v>
      </c>
      <c r="C239" s="704" t="s">
        <v>684</v>
      </c>
      <c r="D239" s="705" t="s">
        <v>669</v>
      </c>
      <c r="E239" s="164">
        <v>350</v>
      </c>
      <c r="F239" s="159">
        <v>133.30000000000001</v>
      </c>
      <c r="G239" s="99">
        <v>133</v>
      </c>
      <c r="H239" s="566">
        <f t="shared" si="17"/>
        <v>0.38</v>
      </c>
      <c r="I239" s="566"/>
      <c r="J239" s="566"/>
      <c r="K239" s="507">
        <f t="shared" si="16"/>
        <v>99.774943735933974</v>
      </c>
    </row>
    <row r="240" spans="1:11" ht="15" customHeight="1">
      <c r="A240" s="93" t="s">
        <v>32</v>
      </c>
      <c r="B240" s="59" t="s">
        <v>402</v>
      </c>
      <c r="C240" s="704" t="s">
        <v>685</v>
      </c>
      <c r="D240" s="705" t="s">
        <v>669</v>
      </c>
      <c r="E240" s="164">
        <v>0</v>
      </c>
      <c r="F240" s="159">
        <v>173</v>
      </c>
      <c r="G240" s="99">
        <v>173</v>
      </c>
      <c r="H240" s="686" t="s">
        <v>280</v>
      </c>
      <c r="I240" s="566"/>
      <c r="J240" s="566"/>
      <c r="K240" s="507">
        <f t="shared" si="16"/>
        <v>100</v>
      </c>
    </row>
    <row r="241" spans="1:11" ht="15" customHeight="1">
      <c r="A241" s="93" t="s">
        <v>32</v>
      </c>
      <c r="B241" s="59" t="s">
        <v>530</v>
      </c>
      <c r="C241" s="704" t="s">
        <v>642</v>
      </c>
      <c r="D241" s="705" t="s">
        <v>669</v>
      </c>
      <c r="E241" s="164">
        <v>600</v>
      </c>
      <c r="F241" s="159">
        <v>1983.6</v>
      </c>
      <c r="G241" s="99">
        <v>1984</v>
      </c>
      <c r="H241" s="566">
        <f t="shared" si="17"/>
        <v>3.3066666666666666</v>
      </c>
      <c r="I241" s="566"/>
      <c r="J241" s="566"/>
      <c r="K241" s="507">
        <f t="shared" si="16"/>
        <v>100.02016535591854</v>
      </c>
    </row>
    <row r="242" spans="1:11" ht="15" customHeight="1">
      <c r="A242" s="93" t="s">
        <v>32</v>
      </c>
      <c r="B242" s="59" t="s">
        <v>403</v>
      </c>
      <c r="C242" s="704" t="s">
        <v>686</v>
      </c>
      <c r="D242" s="705" t="s">
        <v>669</v>
      </c>
      <c r="E242" s="164">
        <v>0</v>
      </c>
      <c r="F242" s="159">
        <v>29</v>
      </c>
      <c r="G242" s="99">
        <v>0</v>
      </c>
      <c r="H242" s="686" t="s">
        <v>280</v>
      </c>
      <c r="I242" s="566"/>
      <c r="J242" s="566"/>
      <c r="K242" s="507">
        <f t="shared" si="16"/>
        <v>0</v>
      </c>
    </row>
    <row r="243" spans="1:11" ht="15" customHeight="1">
      <c r="A243" s="93" t="s">
        <v>32</v>
      </c>
      <c r="B243" s="59" t="s">
        <v>531</v>
      </c>
      <c r="C243" s="704" t="s">
        <v>643</v>
      </c>
      <c r="D243" s="705" t="s">
        <v>669</v>
      </c>
      <c r="E243" s="164">
        <v>1800</v>
      </c>
      <c r="F243" s="159">
        <v>0</v>
      </c>
      <c r="G243" s="99">
        <v>0</v>
      </c>
      <c r="H243" s="566">
        <f t="shared" si="17"/>
        <v>0</v>
      </c>
      <c r="I243" s="566"/>
      <c r="J243" s="566"/>
      <c r="K243" s="691" t="s">
        <v>280</v>
      </c>
    </row>
    <row r="244" spans="1:11" ht="15" customHeight="1">
      <c r="A244" s="93" t="s">
        <v>32</v>
      </c>
      <c r="B244" s="59" t="s">
        <v>532</v>
      </c>
      <c r="C244" s="704" t="s">
        <v>538</v>
      </c>
      <c r="D244" s="705" t="s">
        <v>669</v>
      </c>
      <c r="E244" s="164">
        <v>1500</v>
      </c>
      <c r="F244" s="159">
        <v>1493.1</v>
      </c>
      <c r="G244" s="99">
        <v>1493</v>
      </c>
      <c r="H244" s="566">
        <f t="shared" si="17"/>
        <v>0.99533333333333329</v>
      </c>
      <c r="I244" s="566"/>
      <c r="J244" s="566"/>
      <c r="K244" s="507">
        <f t="shared" si="16"/>
        <v>99.993302524948106</v>
      </c>
    </row>
    <row r="245" spans="1:11" ht="15" customHeight="1">
      <c r="A245" s="93" t="s">
        <v>32</v>
      </c>
      <c r="B245" s="59" t="s">
        <v>533</v>
      </c>
      <c r="C245" s="704" t="s">
        <v>644</v>
      </c>
      <c r="D245" s="705" t="s">
        <v>669</v>
      </c>
      <c r="E245" s="164">
        <v>600</v>
      </c>
      <c r="F245" s="159">
        <v>866.1</v>
      </c>
      <c r="G245" s="99">
        <v>866</v>
      </c>
      <c r="H245" s="566">
        <f t="shared" si="17"/>
        <v>1.4433333333333334</v>
      </c>
      <c r="I245" s="566"/>
      <c r="J245" s="566"/>
      <c r="K245" s="507">
        <f t="shared" si="16"/>
        <v>99.988453989146748</v>
      </c>
    </row>
    <row r="246" spans="1:11" ht="15" customHeight="1">
      <c r="A246" s="93" t="s">
        <v>32</v>
      </c>
      <c r="B246" s="59" t="s">
        <v>534</v>
      </c>
      <c r="C246" s="704" t="s">
        <v>645</v>
      </c>
      <c r="D246" s="705" t="s">
        <v>669</v>
      </c>
      <c r="E246" s="164">
        <v>495</v>
      </c>
      <c r="F246" s="159">
        <v>0</v>
      </c>
      <c r="G246" s="99">
        <v>0</v>
      </c>
      <c r="H246" s="566">
        <f t="shared" si="17"/>
        <v>0</v>
      </c>
      <c r="I246" s="566"/>
      <c r="J246" s="566"/>
      <c r="K246" s="691" t="s">
        <v>280</v>
      </c>
    </row>
    <row r="247" spans="1:11" ht="15" customHeight="1" thickBot="1">
      <c r="A247" s="529" t="s">
        <v>32</v>
      </c>
      <c r="B247" s="59" t="s">
        <v>535</v>
      </c>
      <c r="C247" s="717" t="s">
        <v>646</v>
      </c>
      <c r="D247" s="371" t="s">
        <v>669</v>
      </c>
      <c r="E247" s="718">
        <v>7500</v>
      </c>
      <c r="F247" s="719">
        <v>4762.6000000000004</v>
      </c>
      <c r="G247" s="162">
        <v>4763</v>
      </c>
      <c r="H247" s="566">
        <f t="shared" si="17"/>
        <v>0.63506666666666667</v>
      </c>
      <c r="I247" s="690"/>
      <c r="J247" s="690"/>
      <c r="K247" s="507">
        <f t="shared" ref="K247" si="18">G247/F247*100</f>
        <v>100.00839877377902</v>
      </c>
    </row>
    <row r="248" spans="1:11" ht="15" customHeight="1">
      <c r="A248" s="720"/>
      <c r="B248" s="720"/>
      <c r="C248" s="721"/>
      <c r="D248" s="722"/>
      <c r="E248" s="723"/>
      <c r="F248" s="724"/>
      <c r="G248" s="725"/>
      <c r="H248" s="726"/>
      <c r="I248" s="726"/>
      <c r="J248" s="726"/>
      <c r="K248" s="726"/>
    </row>
    <row r="249" spans="1:11" ht="15" customHeight="1">
      <c r="A249" s="521"/>
      <c r="B249" s="521"/>
      <c r="C249" s="714"/>
      <c r="D249" s="715"/>
      <c r="E249" s="716"/>
      <c r="F249" s="649"/>
      <c r="G249" s="96"/>
      <c r="H249" s="634"/>
      <c r="I249" s="634"/>
      <c r="J249" s="634"/>
      <c r="K249" s="634"/>
    </row>
    <row r="250" spans="1:11" ht="15" customHeight="1" thickBot="1">
      <c r="A250" s="727"/>
      <c r="B250" s="727"/>
      <c r="C250" s="728"/>
      <c r="D250" s="729"/>
      <c r="E250" s="730"/>
      <c r="F250" s="731"/>
      <c r="G250" s="732"/>
      <c r="H250" s="733"/>
      <c r="I250" s="733"/>
      <c r="J250" s="733"/>
      <c r="K250" s="6" t="s">
        <v>815</v>
      </c>
    </row>
    <row r="251" spans="1:11" ht="15" customHeight="1">
      <c r="A251" s="7" t="s">
        <v>1</v>
      </c>
      <c r="B251" s="8" t="s">
        <v>2</v>
      </c>
      <c r="C251" s="45" t="s">
        <v>3</v>
      </c>
      <c r="D251" s="9"/>
      <c r="E251" s="8" t="s">
        <v>4</v>
      </c>
      <c r="F251" s="734" t="s">
        <v>312</v>
      </c>
      <c r="G251" s="8" t="s">
        <v>314</v>
      </c>
      <c r="H251" s="8" t="s">
        <v>316</v>
      </c>
      <c r="I251" s="10" t="s">
        <v>316</v>
      </c>
      <c r="J251" s="512"/>
      <c r="K251" s="10" t="s">
        <v>316</v>
      </c>
    </row>
    <row r="252" spans="1:11" ht="15" customHeight="1">
      <c r="A252" s="11" t="s">
        <v>5</v>
      </c>
      <c r="B252" s="12" t="s">
        <v>6</v>
      </c>
      <c r="C252" s="46" t="s">
        <v>7</v>
      </c>
      <c r="D252" s="13" t="s">
        <v>8</v>
      </c>
      <c r="E252" s="12" t="s">
        <v>231</v>
      </c>
      <c r="F252" s="13" t="s">
        <v>319</v>
      </c>
      <c r="G252" s="12" t="s">
        <v>315</v>
      </c>
      <c r="H252" s="12" t="s">
        <v>317</v>
      </c>
      <c r="I252" s="14" t="s">
        <v>318</v>
      </c>
      <c r="K252" s="14" t="s">
        <v>318</v>
      </c>
    </row>
    <row r="253" spans="1:11" ht="15" customHeight="1" thickBot="1">
      <c r="A253" s="11" t="s">
        <v>9</v>
      </c>
      <c r="B253" s="12" t="s">
        <v>10</v>
      </c>
      <c r="C253" s="46"/>
      <c r="D253" s="13"/>
      <c r="E253" s="12" t="s">
        <v>408</v>
      </c>
      <c r="F253" s="513">
        <v>46022</v>
      </c>
      <c r="G253" s="513">
        <f>F253</f>
        <v>46022</v>
      </c>
      <c r="H253" s="513" t="s">
        <v>211</v>
      </c>
      <c r="I253" s="14" t="s">
        <v>211</v>
      </c>
      <c r="K253" s="14" t="s">
        <v>211</v>
      </c>
    </row>
    <row r="254" spans="1:11" ht="15" customHeight="1">
      <c r="A254" s="18" t="s">
        <v>320</v>
      </c>
      <c r="B254" s="91"/>
      <c r="C254" s="19"/>
      <c r="D254" s="20"/>
      <c r="E254" s="92"/>
      <c r="F254" s="514"/>
      <c r="G254" s="92"/>
      <c r="H254" s="91"/>
      <c r="I254" s="515"/>
      <c r="J254" s="512"/>
      <c r="K254" s="515"/>
    </row>
    <row r="255" spans="1:11" ht="15" customHeight="1">
      <c r="A255" s="163" t="s">
        <v>32</v>
      </c>
      <c r="B255" s="942" t="s">
        <v>343</v>
      </c>
      <c r="C255" s="943"/>
      <c r="D255" s="944"/>
      <c r="E255" s="58"/>
      <c r="F255" s="58"/>
      <c r="G255" s="57"/>
      <c r="H255" s="557"/>
      <c r="I255" s="557"/>
      <c r="J255" s="557"/>
      <c r="K255" s="503"/>
    </row>
    <row r="256" spans="1:11" ht="15" customHeight="1">
      <c r="A256" s="93" t="s">
        <v>32</v>
      </c>
      <c r="B256" s="59" t="s">
        <v>536</v>
      </c>
      <c r="C256" s="704" t="s">
        <v>647</v>
      </c>
      <c r="D256" s="705" t="s">
        <v>669</v>
      </c>
      <c r="E256" s="164">
        <v>7500</v>
      </c>
      <c r="F256" s="159">
        <v>7500</v>
      </c>
      <c r="G256" s="99">
        <v>7500</v>
      </c>
      <c r="H256" s="566">
        <v>0</v>
      </c>
      <c r="I256" s="566"/>
      <c r="J256" s="566"/>
      <c r="K256" s="507">
        <f t="shared" ref="K256:K342" si="19">G256/F256*100</f>
        <v>100</v>
      </c>
    </row>
    <row r="257" spans="1:11" ht="15" customHeight="1">
      <c r="A257" s="93" t="s">
        <v>32</v>
      </c>
      <c r="B257" s="59" t="s">
        <v>537</v>
      </c>
      <c r="C257" s="704" t="s">
        <v>700</v>
      </c>
      <c r="D257" s="705" t="s">
        <v>669</v>
      </c>
      <c r="E257" s="164">
        <v>7500</v>
      </c>
      <c r="F257" s="159">
        <v>7081</v>
      </c>
      <c r="G257" s="99">
        <v>7081</v>
      </c>
      <c r="H257" s="566">
        <v>0</v>
      </c>
      <c r="I257" s="566"/>
      <c r="J257" s="566"/>
      <c r="K257" s="507">
        <f t="shared" si="19"/>
        <v>100</v>
      </c>
    </row>
    <row r="258" spans="1:11" ht="15" customHeight="1">
      <c r="A258" s="93" t="s">
        <v>32</v>
      </c>
      <c r="B258" s="59" t="s">
        <v>541</v>
      </c>
      <c r="C258" s="704" t="s">
        <v>507</v>
      </c>
      <c r="D258" s="705" t="s">
        <v>669</v>
      </c>
      <c r="E258" s="164">
        <v>0</v>
      </c>
      <c r="F258" s="159">
        <v>2644</v>
      </c>
      <c r="G258" s="99">
        <v>2644</v>
      </c>
      <c r="H258" s="566">
        <v>0</v>
      </c>
      <c r="I258" s="566"/>
      <c r="J258" s="566"/>
      <c r="K258" s="507">
        <f t="shared" si="19"/>
        <v>100</v>
      </c>
    </row>
    <row r="259" spans="1:11" ht="15" customHeight="1">
      <c r="A259" s="93" t="s">
        <v>32</v>
      </c>
      <c r="B259" s="59" t="s">
        <v>542</v>
      </c>
      <c r="C259" s="704" t="s">
        <v>573</v>
      </c>
      <c r="D259" s="705" t="s">
        <v>669</v>
      </c>
      <c r="E259" s="164">
        <v>0</v>
      </c>
      <c r="F259" s="159">
        <v>2000</v>
      </c>
      <c r="G259" s="99">
        <v>0</v>
      </c>
      <c r="H259" s="686" t="s">
        <v>280</v>
      </c>
      <c r="I259" s="566"/>
      <c r="J259" s="566"/>
      <c r="K259" s="507">
        <f t="shared" si="19"/>
        <v>0</v>
      </c>
    </row>
    <row r="260" spans="1:11" ht="15" customHeight="1">
      <c r="A260" s="93" t="s">
        <v>32</v>
      </c>
      <c r="B260" s="59" t="s">
        <v>574</v>
      </c>
      <c r="C260" s="704" t="s">
        <v>701</v>
      </c>
      <c r="D260" s="705" t="s">
        <v>669</v>
      </c>
      <c r="E260" s="164">
        <v>0</v>
      </c>
      <c r="F260" s="159">
        <v>156.1</v>
      </c>
      <c r="G260" s="99">
        <v>156</v>
      </c>
      <c r="H260" s="686" t="s">
        <v>280</v>
      </c>
      <c r="I260" s="566"/>
      <c r="J260" s="566"/>
      <c r="K260" s="507">
        <f t="shared" si="19"/>
        <v>99.93593850096093</v>
      </c>
    </row>
    <row r="261" spans="1:11" ht="15" customHeight="1">
      <c r="A261" s="93" t="s">
        <v>32</v>
      </c>
      <c r="B261" s="59" t="s">
        <v>575</v>
      </c>
      <c r="C261" s="704" t="s">
        <v>702</v>
      </c>
      <c r="D261" s="705" t="s">
        <v>669</v>
      </c>
      <c r="E261" s="164">
        <v>0</v>
      </c>
      <c r="F261" s="159">
        <v>52.1</v>
      </c>
      <c r="G261" s="99">
        <v>52</v>
      </c>
      <c r="H261" s="686" t="s">
        <v>280</v>
      </c>
      <c r="I261" s="566"/>
      <c r="J261" s="566"/>
      <c r="K261" s="507">
        <f t="shared" si="19"/>
        <v>99.808061420345481</v>
      </c>
    </row>
    <row r="262" spans="1:11" ht="15" customHeight="1">
      <c r="A262" s="93" t="s">
        <v>32</v>
      </c>
      <c r="B262" s="59" t="s">
        <v>576</v>
      </c>
      <c r="C262" s="704" t="s">
        <v>703</v>
      </c>
      <c r="D262" s="705" t="s">
        <v>669</v>
      </c>
      <c r="E262" s="164">
        <v>0</v>
      </c>
      <c r="F262" s="159">
        <v>45.7</v>
      </c>
      <c r="G262" s="99">
        <v>46</v>
      </c>
      <c r="H262" s="686" t="s">
        <v>280</v>
      </c>
      <c r="I262" s="566"/>
      <c r="J262" s="566"/>
      <c r="K262" s="507">
        <f t="shared" si="19"/>
        <v>100.65645514223193</v>
      </c>
    </row>
    <row r="263" spans="1:11" ht="15" customHeight="1">
      <c r="A263" s="93" t="s">
        <v>32</v>
      </c>
      <c r="B263" s="59" t="s">
        <v>577</v>
      </c>
      <c r="C263" s="704" t="s">
        <v>704</v>
      </c>
      <c r="D263" s="705" t="s">
        <v>669</v>
      </c>
      <c r="E263" s="164">
        <v>0</v>
      </c>
      <c r="F263" s="159">
        <v>0.3</v>
      </c>
      <c r="G263" s="99">
        <v>0</v>
      </c>
      <c r="H263" s="686" t="s">
        <v>280</v>
      </c>
      <c r="I263" s="566"/>
      <c r="J263" s="566"/>
      <c r="K263" s="507">
        <f t="shared" si="19"/>
        <v>0</v>
      </c>
    </row>
    <row r="264" spans="1:11" ht="15" customHeight="1">
      <c r="A264" s="93" t="s">
        <v>32</v>
      </c>
      <c r="B264" s="59" t="s">
        <v>578</v>
      </c>
      <c r="C264" s="704" t="s">
        <v>705</v>
      </c>
      <c r="D264" s="705" t="s">
        <v>669</v>
      </c>
      <c r="E264" s="164">
        <v>0</v>
      </c>
      <c r="F264" s="159">
        <v>47</v>
      </c>
      <c r="G264" s="99">
        <v>47</v>
      </c>
      <c r="H264" s="686" t="s">
        <v>280</v>
      </c>
      <c r="I264" s="566"/>
      <c r="J264" s="566"/>
      <c r="K264" s="507">
        <f t="shared" si="19"/>
        <v>100</v>
      </c>
    </row>
    <row r="265" spans="1:11" ht="15" customHeight="1">
      <c r="A265" s="93" t="s">
        <v>32</v>
      </c>
      <c r="B265" s="59" t="s">
        <v>579</v>
      </c>
      <c r="C265" s="704" t="s">
        <v>580</v>
      </c>
      <c r="D265" s="705" t="s">
        <v>669</v>
      </c>
      <c r="E265" s="164">
        <v>0</v>
      </c>
      <c r="F265" s="159">
        <v>294</v>
      </c>
      <c r="G265" s="99">
        <v>294</v>
      </c>
      <c r="H265" s="686" t="s">
        <v>280</v>
      </c>
      <c r="I265" s="566"/>
      <c r="J265" s="566"/>
      <c r="K265" s="507">
        <f t="shared" si="19"/>
        <v>100</v>
      </c>
    </row>
    <row r="266" spans="1:11" ht="15" customHeight="1">
      <c r="A266" s="93" t="s">
        <v>32</v>
      </c>
      <c r="B266" s="59" t="s">
        <v>581</v>
      </c>
      <c r="C266" s="704" t="s">
        <v>706</v>
      </c>
      <c r="D266" s="705" t="s">
        <v>669</v>
      </c>
      <c r="E266" s="164">
        <v>0</v>
      </c>
      <c r="F266" s="159">
        <v>215.9</v>
      </c>
      <c r="G266" s="99">
        <v>216</v>
      </c>
      <c r="H266" s="686" t="s">
        <v>280</v>
      </c>
      <c r="I266" s="566"/>
      <c r="J266" s="566"/>
      <c r="K266" s="507">
        <f t="shared" si="19"/>
        <v>100.0463177396943</v>
      </c>
    </row>
    <row r="267" spans="1:11" ht="15" customHeight="1">
      <c r="A267" s="93" t="s">
        <v>32</v>
      </c>
      <c r="B267" s="59" t="s">
        <v>582</v>
      </c>
      <c r="C267" s="704" t="s">
        <v>583</v>
      </c>
      <c r="D267" s="705" t="s">
        <v>669</v>
      </c>
      <c r="E267" s="164">
        <v>0</v>
      </c>
      <c r="F267" s="159">
        <v>172</v>
      </c>
      <c r="G267" s="99">
        <v>172</v>
      </c>
      <c r="H267" s="686" t="s">
        <v>280</v>
      </c>
      <c r="I267" s="566"/>
      <c r="J267" s="566"/>
      <c r="K267" s="507">
        <f t="shared" si="19"/>
        <v>100</v>
      </c>
    </row>
    <row r="268" spans="1:11" ht="15" customHeight="1">
      <c r="A268" s="93" t="s">
        <v>32</v>
      </c>
      <c r="B268" s="59" t="s">
        <v>584</v>
      </c>
      <c r="C268" s="704" t="s">
        <v>707</v>
      </c>
      <c r="D268" s="705" t="s">
        <v>669</v>
      </c>
      <c r="E268" s="164">
        <v>0</v>
      </c>
      <c r="F268" s="159">
        <v>429.6</v>
      </c>
      <c r="G268" s="99">
        <v>430</v>
      </c>
      <c r="H268" s="686" t="s">
        <v>280</v>
      </c>
      <c r="I268" s="566"/>
      <c r="J268" s="566"/>
      <c r="K268" s="507">
        <f t="shared" si="19"/>
        <v>100.09310986964617</v>
      </c>
    </row>
    <row r="269" spans="1:11" ht="15" customHeight="1">
      <c r="A269" s="93" t="s">
        <v>32</v>
      </c>
      <c r="B269" s="59" t="s">
        <v>585</v>
      </c>
      <c r="C269" s="704" t="s">
        <v>586</v>
      </c>
      <c r="D269" s="705" t="s">
        <v>669</v>
      </c>
      <c r="E269" s="164">
        <v>0</v>
      </c>
      <c r="F269" s="159">
        <v>1243.5999999999999</v>
      </c>
      <c r="G269" s="99">
        <v>1244</v>
      </c>
      <c r="H269" s="686" t="s">
        <v>280</v>
      </c>
      <c r="I269" s="566"/>
      <c r="J269" s="566"/>
      <c r="K269" s="507">
        <f t="shared" si="19"/>
        <v>100.03216468317788</v>
      </c>
    </row>
    <row r="270" spans="1:11" ht="15" customHeight="1">
      <c r="A270" s="93" t="s">
        <v>32</v>
      </c>
      <c r="B270" s="59" t="s">
        <v>587</v>
      </c>
      <c r="C270" s="704" t="s">
        <v>588</v>
      </c>
      <c r="D270" s="705" t="s">
        <v>669</v>
      </c>
      <c r="E270" s="164">
        <v>0</v>
      </c>
      <c r="F270" s="159">
        <v>649</v>
      </c>
      <c r="G270" s="99">
        <v>648</v>
      </c>
      <c r="H270" s="686" t="s">
        <v>280</v>
      </c>
      <c r="I270" s="566"/>
      <c r="J270" s="566"/>
      <c r="K270" s="507">
        <f t="shared" si="19"/>
        <v>99.845916795069328</v>
      </c>
    </row>
    <row r="271" spans="1:11" ht="15" customHeight="1">
      <c r="A271" s="93" t="s">
        <v>32</v>
      </c>
      <c r="B271" s="59" t="s">
        <v>589</v>
      </c>
      <c r="C271" s="704" t="s">
        <v>648</v>
      </c>
      <c r="D271" s="705" t="s">
        <v>669</v>
      </c>
      <c r="E271" s="164">
        <v>0</v>
      </c>
      <c r="F271" s="159">
        <v>177.4</v>
      </c>
      <c r="G271" s="99">
        <v>177</v>
      </c>
      <c r="H271" s="686" t="s">
        <v>280</v>
      </c>
      <c r="I271" s="566"/>
      <c r="J271" s="566"/>
      <c r="K271" s="507">
        <f t="shared" si="19"/>
        <v>99.774520856820743</v>
      </c>
    </row>
    <row r="272" spans="1:11" ht="15" customHeight="1">
      <c r="A272" s="93" t="s">
        <v>32</v>
      </c>
      <c r="B272" s="59" t="s">
        <v>504</v>
      </c>
      <c r="C272" s="704" t="s">
        <v>708</v>
      </c>
      <c r="D272" s="705" t="s">
        <v>669</v>
      </c>
      <c r="E272" s="164">
        <v>0</v>
      </c>
      <c r="F272" s="159">
        <v>1841.5</v>
      </c>
      <c r="G272" s="99">
        <v>1842</v>
      </c>
      <c r="H272" s="686" t="s">
        <v>280</v>
      </c>
      <c r="I272" s="566"/>
      <c r="J272" s="566"/>
      <c r="K272" s="507">
        <f t="shared" si="19"/>
        <v>100.02715177844148</v>
      </c>
    </row>
    <row r="273" spans="1:11" ht="15" customHeight="1">
      <c r="A273" s="93" t="s">
        <v>32</v>
      </c>
      <c r="B273" s="59" t="s">
        <v>590</v>
      </c>
      <c r="C273" s="704" t="s">
        <v>649</v>
      </c>
      <c r="D273" s="705" t="s">
        <v>669</v>
      </c>
      <c r="E273" s="164">
        <v>0</v>
      </c>
      <c r="F273" s="159">
        <v>96.8</v>
      </c>
      <c r="G273" s="99">
        <v>97</v>
      </c>
      <c r="H273" s="686" t="s">
        <v>280</v>
      </c>
      <c r="I273" s="566"/>
      <c r="J273" s="566"/>
      <c r="K273" s="507">
        <f t="shared" si="19"/>
        <v>100.20661157024793</v>
      </c>
    </row>
    <row r="274" spans="1:11" ht="15" customHeight="1">
      <c r="A274" s="93" t="s">
        <v>32</v>
      </c>
      <c r="B274" s="59" t="s">
        <v>591</v>
      </c>
      <c r="C274" s="704" t="s">
        <v>650</v>
      </c>
      <c r="D274" s="705" t="s">
        <v>669</v>
      </c>
      <c r="E274" s="164">
        <v>0</v>
      </c>
      <c r="F274" s="159">
        <v>8360.7999999999993</v>
      </c>
      <c r="G274" s="99">
        <v>8361</v>
      </c>
      <c r="H274" s="686" t="s">
        <v>280</v>
      </c>
      <c r="I274" s="566"/>
      <c r="J274" s="566"/>
      <c r="K274" s="507">
        <f t="shared" si="19"/>
        <v>100.00239211558704</v>
      </c>
    </row>
    <row r="275" spans="1:11" ht="15" customHeight="1">
      <c r="A275" s="93" t="s">
        <v>32</v>
      </c>
      <c r="B275" s="59" t="s">
        <v>592</v>
      </c>
      <c r="C275" s="704" t="s">
        <v>709</v>
      </c>
      <c r="D275" s="705" t="s">
        <v>669</v>
      </c>
      <c r="E275" s="164">
        <v>0</v>
      </c>
      <c r="F275" s="159">
        <v>11790.7</v>
      </c>
      <c r="G275" s="99">
        <v>11791</v>
      </c>
      <c r="H275" s="686" t="s">
        <v>280</v>
      </c>
      <c r="I275" s="566"/>
      <c r="J275" s="566"/>
      <c r="K275" s="507">
        <f t="shared" si="19"/>
        <v>100.00254437819638</v>
      </c>
    </row>
    <row r="276" spans="1:11" ht="15" customHeight="1">
      <c r="A276" s="93" t="s">
        <v>32</v>
      </c>
      <c r="B276" s="59" t="s">
        <v>710</v>
      </c>
      <c r="C276" s="704" t="s">
        <v>711</v>
      </c>
      <c r="D276" s="705" t="s">
        <v>669</v>
      </c>
      <c r="E276" s="164">
        <v>0</v>
      </c>
      <c r="F276" s="159">
        <v>155.1</v>
      </c>
      <c r="G276" s="99">
        <v>155</v>
      </c>
      <c r="H276" s="686" t="s">
        <v>280</v>
      </c>
      <c r="I276" s="566"/>
      <c r="J276" s="566"/>
      <c r="K276" s="507">
        <f t="shared" si="19"/>
        <v>99.935525467440371</v>
      </c>
    </row>
    <row r="277" spans="1:11" ht="15" customHeight="1">
      <c r="A277" s="93" t="s">
        <v>32</v>
      </c>
      <c r="B277" s="59" t="s">
        <v>593</v>
      </c>
      <c r="C277" s="704" t="s">
        <v>594</v>
      </c>
      <c r="D277" s="705" t="s">
        <v>669</v>
      </c>
      <c r="E277" s="164">
        <v>0</v>
      </c>
      <c r="F277" s="159">
        <v>680</v>
      </c>
      <c r="G277" s="99">
        <v>680</v>
      </c>
      <c r="H277" s="686" t="s">
        <v>280</v>
      </c>
      <c r="I277" s="566"/>
      <c r="J277" s="566"/>
      <c r="K277" s="507">
        <f t="shared" si="19"/>
        <v>100</v>
      </c>
    </row>
    <row r="278" spans="1:11" ht="15" customHeight="1">
      <c r="A278" s="93" t="s">
        <v>32</v>
      </c>
      <c r="B278" s="59" t="s">
        <v>712</v>
      </c>
      <c r="C278" s="704" t="s">
        <v>713</v>
      </c>
      <c r="D278" s="705" t="s">
        <v>669</v>
      </c>
      <c r="E278" s="164">
        <v>0</v>
      </c>
      <c r="F278" s="159">
        <v>363</v>
      </c>
      <c r="G278" s="99">
        <v>363</v>
      </c>
      <c r="H278" s="686" t="s">
        <v>280</v>
      </c>
      <c r="I278" s="566"/>
      <c r="J278" s="566"/>
      <c r="K278" s="507">
        <f t="shared" si="19"/>
        <v>100</v>
      </c>
    </row>
    <row r="279" spans="1:11" ht="15" customHeight="1">
      <c r="A279" s="93" t="s">
        <v>32</v>
      </c>
      <c r="B279" s="59" t="s">
        <v>714</v>
      </c>
      <c r="C279" s="704" t="s">
        <v>715</v>
      </c>
      <c r="D279" s="705" t="s">
        <v>669</v>
      </c>
      <c r="E279" s="164">
        <v>0</v>
      </c>
      <c r="F279" s="159">
        <v>2420</v>
      </c>
      <c r="G279" s="99">
        <v>2420</v>
      </c>
      <c r="H279" s="686" t="s">
        <v>280</v>
      </c>
      <c r="I279" s="566"/>
      <c r="J279" s="566"/>
      <c r="K279" s="507">
        <f t="shared" si="19"/>
        <v>100</v>
      </c>
    </row>
    <row r="280" spans="1:11" ht="15" customHeight="1">
      <c r="A280" s="93" t="s">
        <v>32</v>
      </c>
      <c r="B280" s="59" t="s">
        <v>716</v>
      </c>
      <c r="C280" s="704" t="s">
        <v>717</v>
      </c>
      <c r="D280" s="705" t="s">
        <v>669</v>
      </c>
      <c r="E280" s="164">
        <v>0</v>
      </c>
      <c r="F280" s="159">
        <v>1783.1</v>
      </c>
      <c r="G280" s="99">
        <v>1783</v>
      </c>
      <c r="H280" s="686" t="s">
        <v>280</v>
      </c>
      <c r="I280" s="566"/>
      <c r="J280" s="566"/>
      <c r="K280" s="507">
        <f t="shared" si="19"/>
        <v>99.99439178957995</v>
      </c>
    </row>
    <row r="281" spans="1:11" ht="15" customHeight="1">
      <c r="A281" s="93" t="s">
        <v>32</v>
      </c>
      <c r="B281" s="59" t="s">
        <v>718</v>
      </c>
      <c r="C281" s="704" t="s">
        <v>719</v>
      </c>
      <c r="D281" s="705" t="s">
        <v>669</v>
      </c>
      <c r="E281" s="164">
        <v>0</v>
      </c>
      <c r="F281" s="159">
        <v>58.3</v>
      </c>
      <c r="G281" s="99">
        <v>58</v>
      </c>
      <c r="H281" s="686" t="s">
        <v>280</v>
      </c>
      <c r="I281" s="566"/>
      <c r="J281" s="566"/>
      <c r="K281" s="507">
        <f t="shared" si="19"/>
        <v>99.485420240137216</v>
      </c>
    </row>
    <row r="282" spans="1:11" ht="15" customHeight="1">
      <c r="A282" s="93" t="s">
        <v>32</v>
      </c>
      <c r="B282" s="59" t="s">
        <v>720</v>
      </c>
      <c r="C282" s="704" t="s">
        <v>721</v>
      </c>
      <c r="D282" s="705" t="s">
        <v>669</v>
      </c>
      <c r="E282" s="164">
        <v>0</v>
      </c>
      <c r="F282" s="159">
        <v>2130</v>
      </c>
      <c r="G282" s="99">
        <v>2130</v>
      </c>
      <c r="H282" s="686" t="s">
        <v>280</v>
      </c>
      <c r="I282" s="566"/>
      <c r="J282" s="566"/>
      <c r="K282" s="507">
        <f t="shared" si="19"/>
        <v>100</v>
      </c>
    </row>
    <row r="283" spans="1:11" ht="15" customHeight="1">
      <c r="A283" s="93" t="s">
        <v>32</v>
      </c>
      <c r="B283" s="59" t="s">
        <v>722</v>
      </c>
      <c r="C283" s="704" t="s">
        <v>723</v>
      </c>
      <c r="D283" s="705" t="s">
        <v>669</v>
      </c>
      <c r="E283" s="164">
        <v>0</v>
      </c>
      <c r="F283" s="159">
        <v>3613</v>
      </c>
      <c r="G283" s="99">
        <v>3613</v>
      </c>
      <c r="H283" s="686" t="s">
        <v>280</v>
      </c>
      <c r="I283" s="566"/>
      <c r="J283" s="566"/>
      <c r="K283" s="507">
        <f t="shared" si="19"/>
        <v>100</v>
      </c>
    </row>
    <row r="284" spans="1:11" ht="15" customHeight="1">
      <c r="A284" s="93" t="s">
        <v>32</v>
      </c>
      <c r="B284" s="59" t="s">
        <v>651</v>
      </c>
      <c r="C284" s="704" t="s">
        <v>652</v>
      </c>
      <c r="D284" s="705" t="s">
        <v>669</v>
      </c>
      <c r="E284" s="164">
        <v>0</v>
      </c>
      <c r="F284" s="159">
        <v>517.4</v>
      </c>
      <c r="G284" s="99">
        <v>517</v>
      </c>
      <c r="H284" s="686" t="s">
        <v>280</v>
      </c>
      <c r="I284" s="566"/>
      <c r="J284" s="566"/>
      <c r="K284" s="507">
        <f t="shared" si="19"/>
        <v>99.922690374951685</v>
      </c>
    </row>
    <row r="285" spans="1:11" ht="15" customHeight="1">
      <c r="A285" s="93" t="s">
        <v>32</v>
      </c>
      <c r="B285" s="59" t="s">
        <v>724</v>
      </c>
      <c r="C285" s="704" t="s">
        <v>725</v>
      </c>
      <c r="D285" s="705" t="s">
        <v>669</v>
      </c>
      <c r="E285" s="164">
        <v>0</v>
      </c>
      <c r="F285" s="159">
        <v>651.20000000000005</v>
      </c>
      <c r="G285" s="99">
        <v>651</v>
      </c>
      <c r="H285" s="686" t="s">
        <v>280</v>
      </c>
      <c r="I285" s="566"/>
      <c r="J285" s="566"/>
      <c r="K285" s="507">
        <f t="shared" si="19"/>
        <v>99.969287469287465</v>
      </c>
    </row>
    <row r="286" spans="1:11" ht="15" customHeight="1">
      <c r="A286" s="93" t="s">
        <v>32</v>
      </c>
      <c r="B286" s="59" t="s">
        <v>726</v>
      </c>
      <c r="C286" s="704" t="s">
        <v>727</v>
      </c>
      <c r="D286" s="705" t="s">
        <v>669</v>
      </c>
      <c r="E286" s="164">
        <v>0</v>
      </c>
      <c r="F286" s="159">
        <v>2430</v>
      </c>
      <c r="G286" s="99">
        <v>0</v>
      </c>
      <c r="H286" s="686" t="s">
        <v>280</v>
      </c>
      <c r="I286" s="566"/>
      <c r="J286" s="566"/>
      <c r="K286" s="507">
        <f t="shared" si="19"/>
        <v>0</v>
      </c>
    </row>
    <row r="287" spans="1:11" ht="15" customHeight="1">
      <c r="A287" s="93" t="s">
        <v>32</v>
      </c>
      <c r="B287" s="59" t="s">
        <v>505</v>
      </c>
      <c r="C287" s="704" t="s">
        <v>728</v>
      </c>
      <c r="D287" s="705" t="s">
        <v>669</v>
      </c>
      <c r="E287" s="164">
        <v>0</v>
      </c>
      <c r="F287" s="159">
        <v>108.2</v>
      </c>
      <c r="G287" s="99">
        <f>969-861</f>
        <v>108</v>
      </c>
      <c r="H287" s="686" t="s">
        <v>280</v>
      </c>
      <c r="I287" s="566"/>
      <c r="J287" s="566"/>
      <c r="K287" s="507">
        <f t="shared" si="19"/>
        <v>99.815157116451019</v>
      </c>
    </row>
    <row r="288" spans="1:11" ht="15" customHeight="1">
      <c r="A288" s="93" t="s">
        <v>32</v>
      </c>
      <c r="B288" s="59" t="s">
        <v>729</v>
      </c>
      <c r="C288" s="704" t="s">
        <v>730</v>
      </c>
      <c r="D288" s="705" t="s">
        <v>669</v>
      </c>
      <c r="E288" s="164">
        <v>0</v>
      </c>
      <c r="F288" s="159">
        <v>4022</v>
      </c>
      <c r="G288" s="99">
        <f>3161+861</f>
        <v>4022</v>
      </c>
      <c r="H288" s="686" t="s">
        <v>280</v>
      </c>
      <c r="I288" s="566"/>
      <c r="J288" s="566"/>
      <c r="K288" s="507">
        <f t="shared" si="19"/>
        <v>100</v>
      </c>
    </row>
    <row r="289" spans="1:11" ht="15" customHeight="1">
      <c r="A289" s="93" t="s">
        <v>32</v>
      </c>
      <c r="B289" s="59" t="s">
        <v>731</v>
      </c>
      <c r="C289" s="704" t="s">
        <v>732</v>
      </c>
      <c r="D289" s="705" t="s">
        <v>669</v>
      </c>
      <c r="E289" s="164">
        <v>0</v>
      </c>
      <c r="F289" s="159">
        <v>1157</v>
      </c>
      <c r="G289" s="99">
        <v>1141</v>
      </c>
      <c r="H289" s="686" t="s">
        <v>280</v>
      </c>
      <c r="I289" s="566"/>
      <c r="J289" s="566"/>
      <c r="K289" s="507">
        <f t="shared" si="19"/>
        <v>98.617113223854801</v>
      </c>
    </row>
    <row r="290" spans="1:11" ht="15" customHeight="1">
      <c r="A290" s="93" t="s">
        <v>32</v>
      </c>
      <c r="B290" s="59" t="s">
        <v>733</v>
      </c>
      <c r="C290" s="704" t="s">
        <v>734</v>
      </c>
      <c r="D290" s="705" t="s">
        <v>669</v>
      </c>
      <c r="E290" s="164">
        <v>0</v>
      </c>
      <c r="F290" s="159">
        <v>521</v>
      </c>
      <c r="G290" s="99">
        <v>521</v>
      </c>
      <c r="H290" s="686" t="s">
        <v>280</v>
      </c>
      <c r="I290" s="566"/>
      <c r="J290" s="566"/>
      <c r="K290" s="507">
        <f t="shared" si="19"/>
        <v>100</v>
      </c>
    </row>
    <row r="291" spans="1:11" ht="15" customHeight="1">
      <c r="A291" s="93" t="s">
        <v>32</v>
      </c>
      <c r="B291" s="59" t="s">
        <v>735</v>
      </c>
      <c r="C291" s="704" t="s">
        <v>736</v>
      </c>
      <c r="D291" s="705" t="s">
        <v>669</v>
      </c>
      <c r="E291" s="164">
        <v>0</v>
      </c>
      <c r="F291" s="159">
        <v>1790</v>
      </c>
      <c r="G291" s="99">
        <v>1790</v>
      </c>
      <c r="H291" s="686" t="s">
        <v>280</v>
      </c>
      <c r="I291" s="566"/>
      <c r="J291" s="566"/>
      <c r="K291" s="507">
        <f t="shared" si="19"/>
        <v>100</v>
      </c>
    </row>
    <row r="292" spans="1:11" ht="15" customHeight="1">
      <c r="A292" s="93" t="s">
        <v>32</v>
      </c>
      <c r="B292" s="59" t="s">
        <v>506</v>
      </c>
      <c r="C292" s="704" t="s">
        <v>653</v>
      </c>
      <c r="D292" s="705" t="s">
        <v>669</v>
      </c>
      <c r="E292" s="164">
        <v>0</v>
      </c>
      <c r="F292" s="159">
        <v>91.3</v>
      </c>
      <c r="G292" s="99">
        <v>91</v>
      </c>
      <c r="H292" s="686" t="s">
        <v>280</v>
      </c>
      <c r="I292" s="566"/>
      <c r="J292" s="566"/>
      <c r="K292" s="507">
        <f t="shared" si="19"/>
        <v>99.67141292442497</v>
      </c>
    </row>
    <row r="293" spans="1:11" ht="15" customHeight="1">
      <c r="A293" s="93" t="s">
        <v>32</v>
      </c>
      <c r="B293" s="59" t="s">
        <v>737</v>
      </c>
      <c r="C293" s="704" t="s">
        <v>738</v>
      </c>
      <c r="D293" s="705" t="s">
        <v>669</v>
      </c>
      <c r="E293" s="164">
        <v>0</v>
      </c>
      <c r="F293" s="159">
        <v>664</v>
      </c>
      <c r="G293" s="99">
        <v>664</v>
      </c>
      <c r="H293" s="686" t="s">
        <v>280</v>
      </c>
      <c r="I293" s="566"/>
      <c r="J293" s="566"/>
      <c r="K293" s="507">
        <f t="shared" si="19"/>
        <v>100</v>
      </c>
    </row>
    <row r="294" spans="1:11" ht="15" customHeight="1">
      <c r="A294" s="93" t="s">
        <v>32</v>
      </c>
      <c r="B294" s="59" t="s">
        <v>739</v>
      </c>
      <c r="C294" s="704" t="s">
        <v>740</v>
      </c>
      <c r="D294" s="705" t="s">
        <v>669</v>
      </c>
      <c r="E294" s="164">
        <v>0</v>
      </c>
      <c r="F294" s="159">
        <v>2515.3000000000002</v>
      </c>
      <c r="G294" s="99">
        <v>2515</v>
      </c>
      <c r="H294" s="686" t="s">
        <v>280</v>
      </c>
      <c r="I294" s="566"/>
      <c r="J294" s="566"/>
      <c r="K294" s="507">
        <f t="shared" si="19"/>
        <v>99.988072993281108</v>
      </c>
    </row>
    <row r="295" spans="1:11" ht="15" customHeight="1">
      <c r="A295" s="93" t="s">
        <v>32</v>
      </c>
      <c r="B295" s="59" t="s">
        <v>595</v>
      </c>
      <c r="C295" s="704" t="s">
        <v>654</v>
      </c>
      <c r="D295" s="705" t="s">
        <v>669</v>
      </c>
      <c r="E295" s="164">
        <v>0</v>
      </c>
      <c r="F295" s="159">
        <v>846.2</v>
      </c>
      <c r="G295" s="99">
        <v>846</v>
      </c>
      <c r="H295" s="686" t="s">
        <v>280</v>
      </c>
      <c r="I295" s="566"/>
      <c r="J295" s="566"/>
      <c r="K295" s="507">
        <f t="shared" si="19"/>
        <v>99.976364925549504</v>
      </c>
    </row>
    <row r="296" spans="1:11" ht="15" customHeight="1" thickBot="1">
      <c r="A296" s="529" t="s">
        <v>32</v>
      </c>
      <c r="B296" s="59" t="s">
        <v>596</v>
      </c>
      <c r="C296" s="717" t="s">
        <v>655</v>
      </c>
      <c r="D296" s="371" t="s">
        <v>669</v>
      </c>
      <c r="E296" s="718">
        <v>0</v>
      </c>
      <c r="F296" s="719">
        <v>628.6</v>
      </c>
      <c r="G296" s="162">
        <v>629</v>
      </c>
      <c r="H296" s="864" t="s">
        <v>280</v>
      </c>
      <c r="I296" s="690"/>
      <c r="J296" s="690"/>
      <c r="K296" s="697">
        <f t="shared" si="19"/>
        <v>100.06363347120586</v>
      </c>
    </row>
    <row r="297" spans="1:11" ht="15" customHeight="1">
      <c r="A297" s="720"/>
      <c r="B297" s="720"/>
      <c r="C297" s="721"/>
      <c r="D297" s="722"/>
      <c r="E297" s="723"/>
      <c r="F297" s="724"/>
      <c r="G297" s="725"/>
      <c r="H297" s="726"/>
      <c r="I297" s="726"/>
      <c r="J297" s="726"/>
      <c r="K297" s="726"/>
    </row>
    <row r="298" spans="1:11" ht="15" customHeight="1" thickBot="1">
      <c r="A298" s="727"/>
      <c r="B298" s="727"/>
      <c r="C298" s="728"/>
      <c r="D298" s="729"/>
      <c r="E298" s="730"/>
      <c r="F298" s="731"/>
      <c r="G298" s="732"/>
      <c r="H298" s="733"/>
      <c r="I298" s="733"/>
      <c r="J298" s="733"/>
      <c r="K298" s="6" t="s">
        <v>816</v>
      </c>
    </row>
    <row r="299" spans="1:11" ht="15" customHeight="1">
      <c r="A299" s="7" t="s">
        <v>1</v>
      </c>
      <c r="B299" s="8" t="s">
        <v>2</v>
      </c>
      <c r="C299" s="45" t="s">
        <v>3</v>
      </c>
      <c r="D299" s="9"/>
      <c r="E299" s="8" t="s">
        <v>4</v>
      </c>
      <c r="F299" s="734" t="s">
        <v>312</v>
      </c>
      <c r="G299" s="8" t="s">
        <v>314</v>
      </c>
      <c r="H299" s="8" t="s">
        <v>316</v>
      </c>
      <c r="I299" s="10" t="s">
        <v>316</v>
      </c>
      <c r="J299" s="512"/>
      <c r="K299" s="10" t="s">
        <v>316</v>
      </c>
    </row>
    <row r="300" spans="1:11" ht="15" customHeight="1">
      <c r="A300" s="11" t="s">
        <v>5</v>
      </c>
      <c r="B300" s="12" t="s">
        <v>6</v>
      </c>
      <c r="C300" s="46" t="s">
        <v>7</v>
      </c>
      <c r="D300" s="13" t="s">
        <v>8</v>
      </c>
      <c r="E300" s="12" t="s">
        <v>231</v>
      </c>
      <c r="F300" s="13" t="s">
        <v>319</v>
      </c>
      <c r="G300" s="12" t="s">
        <v>315</v>
      </c>
      <c r="H300" s="12" t="s">
        <v>317</v>
      </c>
      <c r="I300" s="14" t="s">
        <v>318</v>
      </c>
      <c r="K300" s="14" t="s">
        <v>318</v>
      </c>
    </row>
    <row r="301" spans="1:11" ht="15" customHeight="1" thickBot="1">
      <c r="A301" s="11" t="s">
        <v>9</v>
      </c>
      <c r="B301" s="12" t="s">
        <v>10</v>
      </c>
      <c r="C301" s="46"/>
      <c r="D301" s="13"/>
      <c r="E301" s="12" t="s">
        <v>408</v>
      </c>
      <c r="F301" s="49" t="s">
        <v>796</v>
      </c>
      <c r="G301" s="513" t="str">
        <f>F301</f>
        <v>31.12.2025</v>
      </c>
      <c r="H301" s="513" t="s">
        <v>211</v>
      </c>
      <c r="I301" s="14" t="s">
        <v>211</v>
      </c>
      <c r="K301" s="14" t="s">
        <v>211</v>
      </c>
    </row>
    <row r="302" spans="1:11" ht="15" customHeight="1">
      <c r="A302" s="18" t="s">
        <v>320</v>
      </c>
      <c r="B302" s="91"/>
      <c r="C302" s="19"/>
      <c r="D302" s="20"/>
      <c r="E302" s="92"/>
      <c r="F302" s="514"/>
      <c r="G302" s="92"/>
      <c r="H302" s="91"/>
      <c r="I302" s="515"/>
      <c r="J302" s="512"/>
      <c r="K302" s="515"/>
    </row>
    <row r="303" spans="1:11" ht="15" customHeight="1">
      <c r="A303" s="163" t="s">
        <v>32</v>
      </c>
      <c r="B303" s="942" t="s">
        <v>343</v>
      </c>
      <c r="C303" s="943"/>
      <c r="D303" s="944"/>
      <c r="E303" s="58"/>
      <c r="F303" s="58"/>
      <c r="G303" s="57"/>
      <c r="H303" s="557"/>
      <c r="I303" s="557"/>
      <c r="J303" s="557"/>
      <c r="K303" s="503"/>
    </row>
    <row r="304" spans="1:11" ht="15" customHeight="1">
      <c r="A304" s="93" t="s">
        <v>32</v>
      </c>
      <c r="B304" s="59" t="s">
        <v>741</v>
      </c>
      <c r="C304" s="704" t="s">
        <v>742</v>
      </c>
      <c r="D304" s="705" t="s">
        <v>669</v>
      </c>
      <c r="E304" s="164">
        <v>0</v>
      </c>
      <c r="F304" s="159">
        <v>396.9</v>
      </c>
      <c r="G304" s="99">
        <v>397</v>
      </c>
      <c r="H304" s="686" t="s">
        <v>280</v>
      </c>
      <c r="I304" s="566"/>
      <c r="J304" s="566"/>
      <c r="K304" s="507">
        <f t="shared" ref="K304:K341" si="20">G304/F304*100</f>
        <v>100.0251952632905</v>
      </c>
    </row>
    <row r="305" spans="1:11" ht="15" customHeight="1">
      <c r="A305" s="93" t="s">
        <v>32</v>
      </c>
      <c r="B305" s="59" t="s">
        <v>597</v>
      </c>
      <c r="C305" s="704" t="s">
        <v>598</v>
      </c>
      <c r="D305" s="705" t="s">
        <v>669</v>
      </c>
      <c r="E305" s="164">
        <v>0</v>
      </c>
      <c r="F305" s="159">
        <v>59.3</v>
      </c>
      <c r="G305" s="99">
        <v>59</v>
      </c>
      <c r="H305" s="686" t="s">
        <v>280</v>
      </c>
      <c r="I305" s="566"/>
      <c r="J305" s="566"/>
      <c r="K305" s="507">
        <f t="shared" si="20"/>
        <v>99.494097807757171</v>
      </c>
    </row>
    <row r="306" spans="1:11" ht="15" customHeight="1">
      <c r="A306" s="93" t="s">
        <v>32</v>
      </c>
      <c r="B306" s="59" t="s">
        <v>743</v>
      </c>
      <c r="C306" s="704" t="s">
        <v>744</v>
      </c>
      <c r="D306" s="705" t="s">
        <v>669</v>
      </c>
      <c r="E306" s="164">
        <v>0</v>
      </c>
      <c r="F306" s="159">
        <v>2800</v>
      </c>
      <c r="G306" s="99">
        <v>0</v>
      </c>
      <c r="H306" s="686" t="s">
        <v>280</v>
      </c>
      <c r="I306" s="566"/>
      <c r="J306" s="566"/>
      <c r="K306" s="507">
        <f t="shared" si="20"/>
        <v>0</v>
      </c>
    </row>
    <row r="307" spans="1:11" ht="15" customHeight="1">
      <c r="A307" s="93" t="s">
        <v>32</v>
      </c>
      <c r="B307" s="59" t="s">
        <v>745</v>
      </c>
      <c r="C307" s="704" t="s">
        <v>746</v>
      </c>
      <c r="D307" s="705" t="s">
        <v>669</v>
      </c>
      <c r="E307" s="164">
        <v>0</v>
      </c>
      <c r="F307" s="159">
        <v>591.70000000000005</v>
      </c>
      <c r="G307" s="99">
        <v>0</v>
      </c>
      <c r="H307" s="686" t="s">
        <v>280</v>
      </c>
      <c r="I307" s="566"/>
      <c r="J307" s="566"/>
      <c r="K307" s="507">
        <f t="shared" si="20"/>
        <v>0</v>
      </c>
    </row>
    <row r="308" spans="1:11" ht="15" customHeight="1">
      <c r="A308" s="93" t="s">
        <v>32</v>
      </c>
      <c r="B308" s="59" t="s">
        <v>747</v>
      </c>
      <c r="C308" s="704" t="s">
        <v>748</v>
      </c>
      <c r="D308" s="705" t="s">
        <v>669</v>
      </c>
      <c r="E308" s="164">
        <v>0</v>
      </c>
      <c r="F308" s="159">
        <v>278.3</v>
      </c>
      <c r="G308" s="99">
        <v>0</v>
      </c>
      <c r="H308" s="686" t="s">
        <v>280</v>
      </c>
      <c r="I308" s="566"/>
      <c r="J308" s="566"/>
      <c r="K308" s="507">
        <f t="shared" si="20"/>
        <v>0</v>
      </c>
    </row>
    <row r="309" spans="1:11" ht="15" customHeight="1">
      <c r="A309" s="93" t="s">
        <v>32</v>
      </c>
      <c r="B309" s="59" t="s">
        <v>749</v>
      </c>
      <c r="C309" s="704" t="s">
        <v>656</v>
      </c>
      <c r="D309" s="705" t="s">
        <v>669</v>
      </c>
      <c r="E309" s="164">
        <v>0</v>
      </c>
      <c r="F309" s="159">
        <v>1717</v>
      </c>
      <c r="G309" s="99">
        <v>1717</v>
      </c>
      <c r="H309" s="686" t="s">
        <v>280</v>
      </c>
      <c r="I309" s="566"/>
      <c r="J309" s="566"/>
      <c r="K309" s="507">
        <f t="shared" ref="K309:K310" si="21">G309/F309*100</f>
        <v>100</v>
      </c>
    </row>
    <row r="310" spans="1:11" ht="15" customHeight="1">
      <c r="A310" s="93" t="s">
        <v>32</v>
      </c>
      <c r="B310" s="59" t="s">
        <v>822</v>
      </c>
      <c r="C310" s="704" t="s">
        <v>787</v>
      </c>
      <c r="D310" s="705" t="s">
        <v>669</v>
      </c>
      <c r="E310" s="164">
        <v>0</v>
      </c>
      <c r="F310" s="159">
        <v>127.1</v>
      </c>
      <c r="G310" s="99">
        <v>127</v>
      </c>
      <c r="H310" s="686" t="s">
        <v>280</v>
      </c>
      <c r="I310" s="566"/>
      <c r="J310" s="566"/>
      <c r="K310" s="507">
        <f t="shared" si="21"/>
        <v>99.9213217938631</v>
      </c>
    </row>
    <row r="311" spans="1:11" ht="15" customHeight="1">
      <c r="A311" s="93" t="s">
        <v>32</v>
      </c>
      <c r="B311" s="59" t="s">
        <v>823</v>
      </c>
      <c r="C311" s="704" t="s">
        <v>786</v>
      </c>
      <c r="D311" s="705" t="s">
        <v>669</v>
      </c>
      <c r="E311" s="164">
        <v>0</v>
      </c>
      <c r="F311" s="159">
        <v>96</v>
      </c>
      <c r="G311" s="99">
        <v>96</v>
      </c>
      <c r="H311" s="686" t="s">
        <v>280</v>
      </c>
      <c r="I311" s="566"/>
      <c r="J311" s="566"/>
      <c r="K311" s="507">
        <f t="shared" ref="K311" si="22">G311/F311*100</f>
        <v>100</v>
      </c>
    </row>
    <row r="312" spans="1:11" ht="15" customHeight="1">
      <c r="A312" s="93" t="s">
        <v>32</v>
      </c>
      <c r="B312" s="59" t="s">
        <v>827</v>
      </c>
      <c r="C312" s="704" t="s">
        <v>750</v>
      </c>
      <c r="D312" s="705" t="s">
        <v>669</v>
      </c>
      <c r="E312" s="164">
        <v>0</v>
      </c>
      <c r="F312" s="159">
        <v>35525</v>
      </c>
      <c r="G312" s="99">
        <v>35525</v>
      </c>
      <c r="H312" s="686" t="s">
        <v>280</v>
      </c>
      <c r="I312" s="566"/>
      <c r="J312" s="566"/>
      <c r="K312" s="507">
        <f t="shared" si="20"/>
        <v>100</v>
      </c>
    </row>
    <row r="313" spans="1:11" ht="15" customHeight="1">
      <c r="A313" s="93" t="s">
        <v>32</v>
      </c>
      <c r="B313" s="59" t="s">
        <v>828</v>
      </c>
      <c r="C313" s="704" t="s">
        <v>657</v>
      </c>
      <c r="D313" s="705" t="s">
        <v>669</v>
      </c>
      <c r="E313" s="164">
        <v>0</v>
      </c>
      <c r="F313" s="159">
        <v>1660.4</v>
      </c>
      <c r="G313" s="99">
        <v>1660</v>
      </c>
      <c r="H313" s="686" t="s">
        <v>280</v>
      </c>
      <c r="I313" s="566"/>
      <c r="J313" s="566"/>
      <c r="K313" s="507">
        <f t="shared" si="20"/>
        <v>99.975909419416993</v>
      </c>
    </row>
    <row r="314" spans="1:11" ht="15" customHeight="1">
      <c r="A314" s="93" t="s">
        <v>32</v>
      </c>
      <c r="B314" s="59" t="s">
        <v>829</v>
      </c>
      <c r="C314" s="704" t="s">
        <v>658</v>
      </c>
      <c r="D314" s="705" t="s">
        <v>669</v>
      </c>
      <c r="E314" s="164">
        <v>0</v>
      </c>
      <c r="F314" s="159">
        <v>1485.6</v>
      </c>
      <c r="G314" s="99">
        <v>1486</v>
      </c>
      <c r="H314" s="686" t="s">
        <v>280</v>
      </c>
      <c r="I314" s="566"/>
      <c r="J314" s="566"/>
      <c r="K314" s="507">
        <f t="shared" si="20"/>
        <v>100.02692514808832</v>
      </c>
    </row>
    <row r="315" spans="1:11" ht="15" customHeight="1">
      <c r="A315" s="93" t="s">
        <v>32</v>
      </c>
      <c r="B315" s="59" t="s">
        <v>830</v>
      </c>
      <c r="C315" s="704" t="s">
        <v>659</v>
      </c>
      <c r="D315" s="705" t="s">
        <v>669</v>
      </c>
      <c r="E315" s="164">
        <v>0</v>
      </c>
      <c r="F315" s="159">
        <v>1600.5</v>
      </c>
      <c r="G315" s="99">
        <v>1601</v>
      </c>
      <c r="H315" s="686" t="s">
        <v>280</v>
      </c>
      <c r="I315" s="566"/>
      <c r="J315" s="566"/>
      <c r="K315" s="507">
        <f t="shared" si="20"/>
        <v>100.03124023742581</v>
      </c>
    </row>
    <row r="316" spans="1:11" ht="15" customHeight="1">
      <c r="A316" s="93" t="s">
        <v>32</v>
      </c>
      <c r="B316" s="59" t="s">
        <v>831</v>
      </c>
      <c r="C316" s="704" t="s">
        <v>751</v>
      </c>
      <c r="D316" s="705" t="s">
        <v>669</v>
      </c>
      <c r="E316" s="164">
        <v>0</v>
      </c>
      <c r="F316" s="159">
        <v>996.5</v>
      </c>
      <c r="G316" s="99">
        <v>997</v>
      </c>
      <c r="H316" s="686" t="s">
        <v>280</v>
      </c>
      <c r="I316" s="566"/>
      <c r="J316" s="566"/>
      <c r="K316" s="507">
        <f t="shared" si="20"/>
        <v>100.05017561465128</v>
      </c>
    </row>
    <row r="317" spans="1:11" ht="15" customHeight="1">
      <c r="A317" s="93" t="s">
        <v>32</v>
      </c>
      <c r="B317" s="59" t="s">
        <v>832</v>
      </c>
      <c r="C317" s="704" t="s">
        <v>752</v>
      </c>
      <c r="D317" s="705" t="s">
        <v>669</v>
      </c>
      <c r="E317" s="164">
        <v>0</v>
      </c>
      <c r="F317" s="159">
        <v>3166.9</v>
      </c>
      <c r="G317" s="99">
        <v>3167</v>
      </c>
      <c r="H317" s="686" t="s">
        <v>280</v>
      </c>
      <c r="I317" s="566"/>
      <c r="J317" s="566"/>
      <c r="K317" s="507">
        <f t="shared" si="20"/>
        <v>100.003157662067</v>
      </c>
    </row>
    <row r="318" spans="1:11" ht="15" customHeight="1">
      <c r="A318" s="93" t="s">
        <v>32</v>
      </c>
      <c r="B318" s="59" t="s">
        <v>833</v>
      </c>
      <c r="C318" s="704" t="s">
        <v>753</v>
      </c>
      <c r="D318" s="705" t="s">
        <v>669</v>
      </c>
      <c r="E318" s="164">
        <v>0</v>
      </c>
      <c r="F318" s="159">
        <v>7382.4</v>
      </c>
      <c r="G318" s="99">
        <v>7382</v>
      </c>
      <c r="H318" s="686" t="s">
        <v>280</v>
      </c>
      <c r="I318" s="566"/>
      <c r="J318" s="566"/>
      <c r="K318" s="507">
        <f t="shared" si="20"/>
        <v>99.994581707845683</v>
      </c>
    </row>
    <row r="319" spans="1:11" ht="15" customHeight="1">
      <c r="A319" s="93" t="s">
        <v>32</v>
      </c>
      <c r="B319" s="59" t="s">
        <v>834</v>
      </c>
      <c r="C319" s="704" t="s">
        <v>754</v>
      </c>
      <c r="D319" s="705" t="s">
        <v>669</v>
      </c>
      <c r="E319" s="164">
        <v>0</v>
      </c>
      <c r="F319" s="159">
        <v>10199.5</v>
      </c>
      <c r="G319" s="99">
        <v>0</v>
      </c>
      <c r="H319" s="686" t="s">
        <v>280</v>
      </c>
      <c r="I319" s="566"/>
      <c r="J319" s="566"/>
      <c r="K319" s="507">
        <f t="shared" si="20"/>
        <v>0</v>
      </c>
    </row>
    <row r="320" spans="1:11" ht="15" customHeight="1">
      <c r="A320" s="93" t="s">
        <v>32</v>
      </c>
      <c r="B320" s="59" t="s">
        <v>835</v>
      </c>
      <c r="C320" s="704" t="s">
        <v>660</v>
      </c>
      <c r="D320" s="705" t="s">
        <v>669</v>
      </c>
      <c r="E320" s="164">
        <v>0</v>
      </c>
      <c r="F320" s="159">
        <v>1844.2</v>
      </c>
      <c r="G320" s="99">
        <v>0</v>
      </c>
      <c r="H320" s="686" t="s">
        <v>280</v>
      </c>
      <c r="I320" s="566"/>
      <c r="J320" s="566"/>
      <c r="K320" s="507">
        <f t="shared" si="20"/>
        <v>0</v>
      </c>
    </row>
    <row r="321" spans="1:14" ht="15" customHeight="1">
      <c r="A321" s="93" t="s">
        <v>32</v>
      </c>
      <c r="B321" s="59" t="s">
        <v>836</v>
      </c>
      <c r="C321" s="704" t="s">
        <v>755</v>
      </c>
      <c r="D321" s="705" t="s">
        <v>669</v>
      </c>
      <c r="E321" s="164">
        <v>0</v>
      </c>
      <c r="F321" s="159">
        <v>452.3</v>
      </c>
      <c r="G321" s="99">
        <v>380</v>
      </c>
      <c r="H321" s="686" t="s">
        <v>280</v>
      </c>
      <c r="I321" s="566"/>
      <c r="J321" s="566"/>
      <c r="K321" s="507">
        <f t="shared" si="20"/>
        <v>84.015034269290283</v>
      </c>
    </row>
    <row r="322" spans="1:14" ht="15" customHeight="1">
      <c r="A322" s="93" t="s">
        <v>32</v>
      </c>
      <c r="B322" s="59" t="s">
        <v>837</v>
      </c>
      <c r="C322" s="704" t="s">
        <v>640</v>
      </c>
      <c r="D322" s="705" t="s">
        <v>669</v>
      </c>
      <c r="E322" s="164">
        <v>0</v>
      </c>
      <c r="F322" s="159">
        <v>4550</v>
      </c>
      <c r="G322" s="99">
        <v>4550</v>
      </c>
      <c r="H322" s="686" t="s">
        <v>280</v>
      </c>
      <c r="I322" s="566"/>
      <c r="J322" s="566"/>
      <c r="K322" s="507">
        <f t="shared" si="20"/>
        <v>100</v>
      </c>
    </row>
    <row r="323" spans="1:14" ht="15" customHeight="1">
      <c r="A323" s="93" t="s">
        <v>32</v>
      </c>
      <c r="B323" s="59" t="s">
        <v>838</v>
      </c>
      <c r="C323" s="704" t="s">
        <v>756</v>
      </c>
      <c r="D323" s="705" t="s">
        <v>669</v>
      </c>
      <c r="E323" s="164">
        <v>0</v>
      </c>
      <c r="F323" s="159">
        <v>1113.7</v>
      </c>
      <c r="G323" s="99">
        <v>1114</v>
      </c>
      <c r="H323" s="686" t="s">
        <v>280</v>
      </c>
      <c r="I323" s="566"/>
      <c r="J323" s="566"/>
      <c r="K323" s="507">
        <f t="shared" si="20"/>
        <v>100.02693723623956</v>
      </c>
    </row>
    <row r="324" spans="1:14" ht="15" customHeight="1">
      <c r="A324" s="93" t="s">
        <v>32</v>
      </c>
      <c r="B324" s="59" t="s">
        <v>839</v>
      </c>
      <c r="C324" s="704" t="s">
        <v>661</v>
      </c>
      <c r="D324" s="705" t="s">
        <v>669</v>
      </c>
      <c r="E324" s="164">
        <v>0</v>
      </c>
      <c r="F324" s="159">
        <v>484.4</v>
      </c>
      <c r="G324" s="99">
        <v>484</v>
      </c>
      <c r="H324" s="686" t="s">
        <v>280</v>
      </c>
      <c r="I324" s="566"/>
      <c r="J324" s="566"/>
      <c r="K324" s="507">
        <f t="shared" si="20"/>
        <v>99.917423616845596</v>
      </c>
    </row>
    <row r="325" spans="1:14" ht="15" customHeight="1">
      <c r="A325" s="93" t="s">
        <v>32</v>
      </c>
      <c r="B325" s="59" t="s">
        <v>840</v>
      </c>
      <c r="C325" s="704" t="s">
        <v>662</v>
      </c>
      <c r="D325" s="705" t="s">
        <v>669</v>
      </c>
      <c r="E325" s="164">
        <v>0</v>
      </c>
      <c r="F325" s="159">
        <v>501.4</v>
      </c>
      <c r="G325" s="99">
        <v>501</v>
      </c>
      <c r="H325" s="686" t="s">
        <v>280</v>
      </c>
      <c r="I325" s="566"/>
      <c r="J325" s="566"/>
      <c r="K325" s="507">
        <f t="shared" si="20"/>
        <v>99.92022337455127</v>
      </c>
    </row>
    <row r="326" spans="1:14" ht="15" customHeight="1">
      <c r="A326" s="93" t="s">
        <v>32</v>
      </c>
      <c r="B326" s="59" t="s">
        <v>841</v>
      </c>
      <c r="C326" s="704" t="s">
        <v>721</v>
      </c>
      <c r="D326" s="705" t="s">
        <v>669</v>
      </c>
      <c r="E326" s="164">
        <v>0</v>
      </c>
      <c r="F326" s="159">
        <v>189.6</v>
      </c>
      <c r="G326" s="99">
        <v>190</v>
      </c>
      <c r="H326" s="686" t="s">
        <v>280</v>
      </c>
      <c r="I326" s="566"/>
      <c r="J326" s="566"/>
      <c r="K326" s="507">
        <f t="shared" si="20"/>
        <v>100.21097046413503</v>
      </c>
    </row>
    <row r="327" spans="1:14" ht="15" customHeight="1">
      <c r="A327" s="93" t="s">
        <v>32</v>
      </c>
      <c r="B327" s="59" t="s">
        <v>842</v>
      </c>
      <c r="C327" s="704" t="s">
        <v>725</v>
      </c>
      <c r="D327" s="705" t="s">
        <v>669</v>
      </c>
      <c r="E327" s="164">
        <v>0</v>
      </c>
      <c r="F327" s="159">
        <v>108.6</v>
      </c>
      <c r="G327" s="99">
        <v>109</v>
      </c>
      <c r="H327" s="686" t="s">
        <v>280</v>
      </c>
      <c r="I327" s="566"/>
      <c r="J327" s="566"/>
      <c r="K327" s="507">
        <f t="shared" si="20"/>
        <v>100.3683241252302</v>
      </c>
    </row>
    <row r="328" spans="1:14" ht="15" customHeight="1">
      <c r="A328" s="93" t="s">
        <v>32</v>
      </c>
      <c r="B328" s="59" t="s">
        <v>843</v>
      </c>
      <c r="C328" s="704" t="s">
        <v>727</v>
      </c>
      <c r="D328" s="705" t="s">
        <v>669</v>
      </c>
      <c r="E328" s="164">
        <v>0</v>
      </c>
      <c r="F328" s="159">
        <v>320</v>
      </c>
      <c r="G328" s="99">
        <v>0</v>
      </c>
      <c r="H328" s="686" t="s">
        <v>280</v>
      </c>
      <c r="I328" s="566"/>
      <c r="J328" s="566"/>
      <c r="K328" s="507">
        <f t="shared" si="20"/>
        <v>0</v>
      </c>
    </row>
    <row r="329" spans="1:14" ht="15" customHeight="1">
      <c r="A329" s="93" t="s">
        <v>32</v>
      </c>
      <c r="B329" s="59" t="s">
        <v>844</v>
      </c>
      <c r="C329" s="704" t="s">
        <v>734</v>
      </c>
      <c r="D329" s="705" t="s">
        <v>669</v>
      </c>
      <c r="E329" s="164">
        <v>0</v>
      </c>
      <c r="F329" s="159">
        <v>1121</v>
      </c>
      <c r="G329" s="99">
        <v>1121</v>
      </c>
      <c r="H329" s="686" t="s">
        <v>280</v>
      </c>
      <c r="I329" s="566"/>
      <c r="J329" s="566"/>
      <c r="K329" s="507">
        <f t="shared" si="20"/>
        <v>100</v>
      </c>
    </row>
    <row r="330" spans="1:14" ht="15" customHeight="1">
      <c r="A330" s="93" t="s">
        <v>32</v>
      </c>
      <c r="B330" s="59" t="s">
        <v>845</v>
      </c>
      <c r="C330" s="704" t="s">
        <v>788</v>
      </c>
      <c r="D330" s="705" t="s">
        <v>669</v>
      </c>
      <c r="E330" s="164">
        <v>0</v>
      </c>
      <c r="F330" s="159">
        <v>3379</v>
      </c>
      <c r="G330" s="99">
        <v>3379</v>
      </c>
      <c r="H330" s="686" t="s">
        <v>280</v>
      </c>
      <c r="I330" s="566"/>
      <c r="J330" s="566"/>
      <c r="K330" s="507">
        <f t="shared" si="20"/>
        <v>100</v>
      </c>
    </row>
    <row r="331" spans="1:14" ht="15" customHeight="1">
      <c r="A331" s="93" t="s">
        <v>32</v>
      </c>
      <c r="B331" s="59" t="s">
        <v>846</v>
      </c>
      <c r="C331" s="704" t="s">
        <v>663</v>
      </c>
      <c r="D331" s="705" t="s">
        <v>669</v>
      </c>
      <c r="E331" s="164">
        <v>0</v>
      </c>
      <c r="F331" s="159">
        <v>362.6</v>
      </c>
      <c r="G331" s="99">
        <v>356</v>
      </c>
      <c r="H331" s="686" t="s">
        <v>280</v>
      </c>
      <c r="I331" s="566"/>
      <c r="J331" s="566"/>
      <c r="K331" s="507">
        <f t="shared" si="20"/>
        <v>98.179812465526751</v>
      </c>
    </row>
    <row r="332" spans="1:14" ht="15" customHeight="1">
      <c r="A332" s="93" t="s">
        <v>32</v>
      </c>
      <c r="B332" s="59" t="s">
        <v>847</v>
      </c>
      <c r="C332" s="704" t="s">
        <v>664</v>
      </c>
      <c r="D332" s="705" t="s">
        <v>669</v>
      </c>
      <c r="E332" s="164">
        <v>0</v>
      </c>
      <c r="F332" s="159">
        <v>4.7</v>
      </c>
      <c r="G332" s="99">
        <v>4</v>
      </c>
      <c r="H332" s="686" t="s">
        <v>280</v>
      </c>
      <c r="I332" s="566"/>
      <c r="J332" s="566"/>
      <c r="K332" s="507">
        <f t="shared" si="20"/>
        <v>85.106382978723403</v>
      </c>
    </row>
    <row r="333" spans="1:14" ht="15" customHeight="1">
      <c r="A333" s="93" t="s">
        <v>32</v>
      </c>
      <c r="B333" s="59" t="s">
        <v>848</v>
      </c>
      <c r="C333" s="704" t="s">
        <v>656</v>
      </c>
      <c r="D333" s="705" t="s">
        <v>669</v>
      </c>
      <c r="E333" s="164">
        <v>0</v>
      </c>
      <c r="F333" s="159">
        <v>221</v>
      </c>
      <c r="G333" s="99">
        <v>221</v>
      </c>
      <c r="H333" s="686" t="s">
        <v>280</v>
      </c>
      <c r="I333" s="566"/>
      <c r="J333" s="566"/>
      <c r="K333" s="507">
        <f t="shared" si="20"/>
        <v>100</v>
      </c>
    </row>
    <row r="334" spans="1:14" s="150" customFormat="1" ht="15" customHeight="1">
      <c r="A334" s="93" t="s">
        <v>32</v>
      </c>
      <c r="B334" s="59" t="s">
        <v>849</v>
      </c>
      <c r="C334" s="704" t="s">
        <v>824</v>
      </c>
      <c r="D334" s="705" t="s">
        <v>669</v>
      </c>
      <c r="E334" s="164">
        <v>0</v>
      </c>
      <c r="F334" s="159">
        <v>103343.9</v>
      </c>
      <c r="G334" s="99">
        <v>21960</v>
      </c>
      <c r="H334" s="861" t="s">
        <v>280</v>
      </c>
      <c r="I334" s="862"/>
      <c r="J334" s="862"/>
      <c r="K334" s="863">
        <f t="shared" si="20"/>
        <v>21.249439976621748</v>
      </c>
      <c r="N334" s="627"/>
    </row>
    <row r="335" spans="1:14" ht="15" customHeight="1">
      <c r="A335" s="93" t="s">
        <v>32</v>
      </c>
      <c r="B335" s="59" t="s">
        <v>850</v>
      </c>
      <c r="C335" s="704" t="s">
        <v>665</v>
      </c>
      <c r="D335" s="705" t="s">
        <v>669</v>
      </c>
      <c r="E335" s="164">
        <v>0</v>
      </c>
      <c r="F335" s="159">
        <v>381.6</v>
      </c>
      <c r="G335" s="99">
        <v>0</v>
      </c>
      <c r="H335" s="686" t="s">
        <v>280</v>
      </c>
      <c r="I335" s="566"/>
      <c r="J335" s="566"/>
      <c r="K335" s="507">
        <f t="shared" si="20"/>
        <v>0</v>
      </c>
    </row>
    <row r="336" spans="1:14" ht="15" customHeight="1">
      <c r="A336" s="93" t="s">
        <v>32</v>
      </c>
      <c r="B336" s="59" t="s">
        <v>851</v>
      </c>
      <c r="C336" s="704" t="s">
        <v>666</v>
      </c>
      <c r="D336" s="705" t="s">
        <v>669</v>
      </c>
      <c r="E336" s="164">
        <v>0</v>
      </c>
      <c r="F336" s="159">
        <v>30261.200000000001</v>
      </c>
      <c r="G336" s="99">
        <v>20761</v>
      </c>
      <c r="H336" s="686" t="s">
        <v>280</v>
      </c>
      <c r="I336" s="566"/>
      <c r="J336" s="566"/>
      <c r="K336" s="507">
        <f t="shared" si="20"/>
        <v>68.606003727545499</v>
      </c>
    </row>
    <row r="337" spans="1:11" ht="15" customHeight="1">
      <c r="A337" s="93" t="s">
        <v>32</v>
      </c>
      <c r="B337" s="59" t="s">
        <v>852</v>
      </c>
      <c r="C337" s="704" t="s">
        <v>667</v>
      </c>
      <c r="D337" s="705" t="s">
        <v>669</v>
      </c>
      <c r="E337" s="164">
        <v>0</v>
      </c>
      <c r="F337" s="159">
        <v>21607.8</v>
      </c>
      <c r="G337" s="99">
        <v>15000</v>
      </c>
      <c r="H337" s="686" t="s">
        <v>280</v>
      </c>
      <c r="I337" s="566"/>
      <c r="J337" s="566"/>
      <c r="K337" s="507">
        <f t="shared" si="20"/>
        <v>69.419376336322998</v>
      </c>
    </row>
    <row r="338" spans="1:11" ht="15" customHeight="1">
      <c r="A338" s="93" t="s">
        <v>32</v>
      </c>
      <c r="B338" s="59" t="s">
        <v>853</v>
      </c>
      <c r="C338" s="704" t="s">
        <v>789</v>
      </c>
      <c r="D338" s="705" t="s">
        <v>669</v>
      </c>
      <c r="E338" s="164">
        <v>0</v>
      </c>
      <c r="F338" s="159">
        <v>9480.1</v>
      </c>
      <c r="G338" s="99">
        <v>9480</v>
      </c>
      <c r="H338" s="686" t="s">
        <v>280</v>
      </c>
      <c r="I338" s="566"/>
      <c r="J338" s="566"/>
      <c r="K338" s="507">
        <f t="shared" si="20"/>
        <v>99.998945158806336</v>
      </c>
    </row>
    <row r="339" spans="1:11" ht="15" customHeight="1">
      <c r="A339" s="93" t="s">
        <v>32</v>
      </c>
      <c r="B339" s="59" t="s">
        <v>854</v>
      </c>
      <c r="C339" s="704" t="s">
        <v>668</v>
      </c>
      <c r="D339" s="705" t="s">
        <v>669</v>
      </c>
      <c r="E339" s="164">
        <v>0</v>
      </c>
      <c r="F339" s="159">
        <v>10500</v>
      </c>
      <c r="G339" s="99">
        <v>10459</v>
      </c>
      <c r="H339" s="686" t="s">
        <v>280</v>
      </c>
      <c r="I339" s="566"/>
      <c r="J339" s="566"/>
      <c r="K339" s="507">
        <f t="shared" si="20"/>
        <v>99.609523809523807</v>
      </c>
    </row>
    <row r="340" spans="1:11" ht="15" customHeight="1">
      <c r="A340" s="93" t="s">
        <v>32</v>
      </c>
      <c r="B340" s="59" t="s">
        <v>855</v>
      </c>
      <c r="C340" s="704" t="s">
        <v>757</v>
      </c>
      <c r="D340" s="705" t="s">
        <v>669</v>
      </c>
      <c r="E340" s="164">
        <v>0</v>
      </c>
      <c r="F340" s="159">
        <v>38952.5</v>
      </c>
      <c r="G340" s="99">
        <v>0</v>
      </c>
      <c r="H340" s="686" t="s">
        <v>280</v>
      </c>
      <c r="I340" s="566"/>
      <c r="J340" s="566"/>
      <c r="K340" s="507">
        <f t="shared" si="20"/>
        <v>0</v>
      </c>
    </row>
    <row r="341" spans="1:11" ht="15" customHeight="1" thickBot="1">
      <c r="A341" s="93" t="s">
        <v>32</v>
      </c>
      <c r="B341" s="59" t="s">
        <v>856</v>
      </c>
      <c r="C341" s="704" t="s">
        <v>758</v>
      </c>
      <c r="D341" s="705" t="s">
        <v>669</v>
      </c>
      <c r="E341" s="164">
        <v>0</v>
      </c>
      <c r="F341" s="159">
        <v>21047.5</v>
      </c>
      <c r="G341" s="99">
        <v>3000</v>
      </c>
      <c r="H341" s="686" t="s">
        <v>280</v>
      </c>
      <c r="I341" s="566"/>
      <c r="J341" s="566"/>
      <c r="K341" s="507">
        <f t="shared" si="20"/>
        <v>14.253474284356813</v>
      </c>
    </row>
    <row r="342" spans="1:11" ht="16.5" thickBot="1">
      <c r="A342" s="65" t="s">
        <v>322</v>
      </c>
      <c r="B342" s="66"/>
      <c r="C342" s="66"/>
      <c r="D342" s="108"/>
      <c r="E342" s="735">
        <f>E181+E208</f>
        <v>67315</v>
      </c>
      <c r="F342" s="736">
        <f>F181+F208</f>
        <v>436208.4</v>
      </c>
      <c r="G342" s="735">
        <f>G181+G208</f>
        <v>248813</v>
      </c>
      <c r="H342" s="699">
        <f t="shared" si="13"/>
        <v>369.62489786823147</v>
      </c>
      <c r="I342" s="699"/>
      <c r="J342" s="699"/>
      <c r="K342" s="700">
        <f t="shared" si="19"/>
        <v>57.039937791202554</v>
      </c>
    </row>
    <row r="343" spans="1:11" ht="16.5" thickBot="1">
      <c r="A343" s="68"/>
      <c r="B343" s="68"/>
      <c r="C343" s="68"/>
      <c r="D343" s="68"/>
      <c r="E343" s="68"/>
      <c r="F343" s="487"/>
      <c r="G343" s="68"/>
      <c r="H343" s="737"/>
      <c r="I343" s="737"/>
      <c r="J343" s="166"/>
      <c r="K343" s="166"/>
    </row>
    <row r="344" spans="1:11" ht="16.5" thickBot="1">
      <c r="A344" s="105" t="s">
        <v>344</v>
      </c>
      <c r="B344" s="106"/>
      <c r="C344" s="107"/>
      <c r="D344" s="108"/>
      <c r="E344" s="735">
        <f>E175+E342</f>
        <v>290771</v>
      </c>
      <c r="F344" s="736">
        <f>F175+F342</f>
        <v>765167.2</v>
      </c>
      <c r="G344" s="735">
        <f>G175+G342</f>
        <v>562322.41099999996</v>
      </c>
      <c r="H344" s="699">
        <f>G344/E344*100</f>
        <v>193.39012865794732</v>
      </c>
      <c r="I344" s="699"/>
      <c r="J344" s="699"/>
      <c r="K344" s="700">
        <f>G344/F344*100</f>
        <v>73.490135358651017</v>
      </c>
    </row>
    <row r="352" spans="1:11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7" customHeight="1"/>
    <row r="380" ht="15" customHeight="1"/>
    <row r="381" ht="15" customHeight="1"/>
    <row r="382" ht="15" customHeight="1"/>
  </sheetData>
  <mergeCells count="13">
    <mergeCell ref="A164:A165"/>
    <mergeCell ref="H164:H165"/>
    <mergeCell ref="K164:K165"/>
    <mergeCell ref="B303:D303"/>
    <mergeCell ref="F140:F141"/>
    <mergeCell ref="G140:G141"/>
    <mergeCell ref="H140:H141"/>
    <mergeCell ref="K140:K141"/>
    <mergeCell ref="B167:C167"/>
    <mergeCell ref="B172:C172"/>
    <mergeCell ref="B181:D181"/>
    <mergeCell ref="B208:D208"/>
    <mergeCell ref="B255:D255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29A7-330B-43B4-9455-1C77ADDC08BE}">
  <sheetPr>
    <pageSetUpPr fitToPage="1"/>
  </sheetPr>
  <dimension ref="A2:K80"/>
  <sheetViews>
    <sheetView zoomScaleNormal="100" workbookViewId="0">
      <selection activeCell="F9" sqref="F9"/>
    </sheetView>
  </sheetViews>
  <sheetFormatPr defaultRowHeight="15"/>
  <cols>
    <col min="1" max="1" width="12.7109375" customWidth="1"/>
    <col min="2" max="2" width="15" customWidth="1"/>
    <col min="3" max="3" width="47.7109375" customWidth="1"/>
    <col min="4" max="4" width="51.28515625" customWidth="1"/>
    <col min="5" max="7" width="14.7109375" customWidth="1"/>
  </cols>
  <sheetData>
    <row r="2" spans="1:11" ht="18">
      <c r="A2" s="110" t="s">
        <v>106</v>
      </c>
      <c r="C2" s="109"/>
      <c r="D2" s="110"/>
    </row>
    <row r="3" spans="1:11" ht="15.75" thickBot="1">
      <c r="G3" s="6"/>
      <c r="I3" s="6" t="s">
        <v>809</v>
      </c>
    </row>
    <row r="4" spans="1:11" ht="15" customHeight="1">
      <c r="A4" s="167" t="s">
        <v>1</v>
      </c>
      <c r="B4" s="168" t="s">
        <v>2</v>
      </c>
      <c r="C4" s="169" t="s">
        <v>3</v>
      </c>
      <c r="D4" s="168"/>
      <c r="E4" s="8" t="s">
        <v>4</v>
      </c>
      <c r="F4" s="8" t="s">
        <v>312</v>
      </c>
      <c r="G4" s="8" t="s">
        <v>314</v>
      </c>
      <c r="H4" s="8" t="s">
        <v>316</v>
      </c>
      <c r="I4" s="10" t="s">
        <v>316</v>
      </c>
    </row>
    <row r="5" spans="1:11" ht="15" customHeight="1">
      <c r="A5" s="170" t="s">
        <v>5</v>
      </c>
      <c r="B5" s="171" t="s">
        <v>6</v>
      </c>
      <c r="C5" s="172" t="s">
        <v>7</v>
      </c>
      <c r="D5" s="173" t="s">
        <v>8</v>
      </c>
      <c r="E5" s="12" t="s">
        <v>231</v>
      </c>
      <c r="F5" s="12" t="s">
        <v>319</v>
      </c>
      <c r="G5" s="12" t="s">
        <v>315</v>
      </c>
      <c r="H5" s="12" t="s">
        <v>317</v>
      </c>
      <c r="I5" s="14" t="s">
        <v>318</v>
      </c>
    </row>
    <row r="6" spans="1:11" ht="15" customHeight="1" thickBot="1">
      <c r="A6" s="174" t="s">
        <v>9</v>
      </c>
      <c r="B6" s="175" t="s">
        <v>10</v>
      </c>
      <c r="C6" s="176"/>
      <c r="D6" s="177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11" ht="15.75">
      <c r="A7" s="178" t="s">
        <v>11</v>
      </c>
      <c r="B7" s="179"/>
      <c r="C7" s="180"/>
      <c r="D7" s="181"/>
      <c r="E7" s="182"/>
      <c r="F7" s="182"/>
      <c r="G7" s="183"/>
      <c r="H7" s="184"/>
      <c r="I7" s="185"/>
    </row>
    <row r="8" spans="1:11">
      <c r="A8" s="36" t="s">
        <v>199</v>
      </c>
      <c r="B8" s="974" t="s">
        <v>296</v>
      </c>
      <c r="C8" s="975"/>
      <c r="D8" s="186"/>
      <c r="E8" s="25">
        <f>E9</f>
        <v>200</v>
      </c>
      <c r="F8" s="187">
        <f>F9</f>
        <v>369.9</v>
      </c>
      <c r="G8" s="188">
        <f>SUM(G9:G10)</f>
        <v>254</v>
      </c>
      <c r="H8" s="873">
        <f>G8/E8*100</f>
        <v>127</v>
      </c>
      <c r="I8" s="306">
        <f t="shared" ref="I8:I22" si="0">(G8/F8)*100</f>
        <v>68.667207353338739</v>
      </c>
    </row>
    <row r="9" spans="1:11">
      <c r="A9" s="40"/>
      <c r="B9" s="190"/>
      <c r="C9" s="30" t="s">
        <v>414</v>
      </c>
      <c r="D9" s="191" t="s">
        <v>107</v>
      </c>
      <c r="E9" s="192">
        <v>200</v>
      </c>
      <c r="F9" s="128">
        <v>369.9</v>
      </c>
      <c r="G9" s="192">
        <v>254</v>
      </c>
      <c r="H9" s="814">
        <f>(G9/E9)*100</f>
        <v>127</v>
      </c>
      <c r="I9" s="364">
        <f>(G9/F9)*100</f>
        <v>68.667207353338739</v>
      </c>
    </row>
    <row r="10" spans="1:11">
      <c r="A10" s="37"/>
      <c r="B10" s="194"/>
      <c r="C10" s="195"/>
      <c r="D10" s="196"/>
      <c r="E10" s="197"/>
      <c r="F10" s="197"/>
      <c r="G10" s="192"/>
      <c r="H10" s="874"/>
      <c r="I10" s="364"/>
    </row>
    <row r="11" spans="1:11">
      <c r="A11" s="36" t="s">
        <v>256</v>
      </c>
      <c r="B11" s="974" t="s">
        <v>294</v>
      </c>
      <c r="C11" s="975"/>
      <c r="D11" s="198"/>
      <c r="E11" s="188">
        <f>SUM(E12:E21)</f>
        <v>112043</v>
      </c>
      <c r="F11" s="187">
        <f>SUM(F12:F21)</f>
        <v>154879.9</v>
      </c>
      <c r="G11" s="199">
        <f>SUM(G12:G21)</f>
        <v>154413</v>
      </c>
      <c r="H11" s="875">
        <f>G11/E11*100</f>
        <v>137.81583856198068</v>
      </c>
      <c r="I11" s="876">
        <f>G11/F11*100</f>
        <v>99.698540611144509</v>
      </c>
    </row>
    <row r="12" spans="1:11">
      <c r="A12" s="36"/>
      <c r="B12" s="200" t="s">
        <v>392</v>
      </c>
      <c r="C12" s="201" t="s">
        <v>23</v>
      </c>
      <c r="D12" s="198" t="s">
        <v>415</v>
      </c>
      <c r="E12" s="197">
        <v>350</v>
      </c>
      <c r="F12" s="128">
        <v>301</v>
      </c>
      <c r="G12" s="192">
        <v>267</v>
      </c>
      <c r="H12" s="877">
        <f>G12/E12*100</f>
        <v>76.285714285714292</v>
      </c>
      <c r="I12" s="364">
        <f>(G12/F12)*100</f>
        <v>88.704318936877087</v>
      </c>
    </row>
    <row r="13" spans="1:11">
      <c r="A13" s="36"/>
      <c r="B13" s="200">
        <v>504</v>
      </c>
      <c r="C13" s="192" t="s">
        <v>237</v>
      </c>
      <c r="D13" s="198" t="s">
        <v>415</v>
      </c>
      <c r="E13" s="197">
        <v>300</v>
      </c>
      <c r="F13" s="128">
        <v>1122</v>
      </c>
      <c r="G13" s="192">
        <v>1036</v>
      </c>
      <c r="H13" s="814">
        <f>(G13/E13)*100</f>
        <v>345.33333333333331</v>
      </c>
      <c r="I13" s="364">
        <f>(G13/F13)*100</f>
        <v>92.335115864527623</v>
      </c>
      <c r="K13" s="155"/>
    </row>
    <row r="14" spans="1:11">
      <c r="A14" s="203"/>
      <c r="B14" s="200" t="s">
        <v>239</v>
      </c>
      <c r="C14" s="192" t="s">
        <v>238</v>
      </c>
      <c r="D14" s="204" t="s">
        <v>415</v>
      </c>
      <c r="E14" s="197">
        <v>200</v>
      </c>
      <c r="F14" s="128">
        <v>200</v>
      </c>
      <c r="G14" s="370">
        <v>143</v>
      </c>
      <c r="H14" s="878">
        <f t="shared" ref="H14:H15" si="1">(G14/E14)*100</f>
        <v>71.5</v>
      </c>
      <c r="I14" s="364">
        <f t="shared" si="0"/>
        <v>71.5</v>
      </c>
    </row>
    <row r="15" spans="1:11">
      <c r="A15" s="203"/>
      <c r="B15" s="200"/>
      <c r="C15" s="192" t="s">
        <v>108</v>
      </c>
      <c r="D15" s="192" t="s">
        <v>109</v>
      </c>
      <c r="E15" s="370">
        <v>450</v>
      </c>
      <c r="F15" s="128">
        <v>600</v>
      </c>
      <c r="G15" s="370">
        <v>560</v>
      </c>
      <c r="H15" s="878">
        <f t="shared" si="1"/>
        <v>124.44444444444444</v>
      </c>
      <c r="I15" s="364">
        <f t="shared" si="0"/>
        <v>93.333333333333329</v>
      </c>
    </row>
    <row r="16" spans="1:11">
      <c r="A16" s="203"/>
      <c r="B16" s="200"/>
      <c r="C16" s="192" t="s">
        <v>247</v>
      </c>
      <c r="D16" s="197" t="s">
        <v>114</v>
      </c>
      <c r="E16" s="370">
        <v>8</v>
      </c>
      <c r="F16" s="128">
        <v>8</v>
      </c>
      <c r="G16" s="197">
        <v>8</v>
      </c>
      <c r="H16" s="878">
        <f>(G16/E16)*100</f>
        <v>100</v>
      </c>
      <c r="I16" s="364">
        <f t="shared" ref="I16:I21" si="2">(G16/F16)*100</f>
        <v>100</v>
      </c>
    </row>
    <row r="17" spans="1:9" ht="26.25">
      <c r="A17" s="203"/>
      <c r="B17" s="205" t="s">
        <v>118</v>
      </c>
      <c r="C17" s="206" t="s">
        <v>250</v>
      </c>
      <c r="D17" s="207" t="s">
        <v>240</v>
      </c>
      <c r="E17" s="370">
        <v>73500</v>
      </c>
      <c r="F17" s="128">
        <v>108026</v>
      </c>
      <c r="G17" s="370">
        <v>108026</v>
      </c>
      <c r="H17" s="878">
        <f>(G17/E17)*100</f>
        <v>146.97414965986394</v>
      </c>
      <c r="I17" s="364">
        <f t="shared" si="2"/>
        <v>100</v>
      </c>
    </row>
    <row r="18" spans="1:9">
      <c r="A18" s="203"/>
      <c r="B18" s="208">
        <v>501</v>
      </c>
      <c r="C18" s="192" t="s">
        <v>117</v>
      </c>
      <c r="D18" s="197" t="s">
        <v>116</v>
      </c>
      <c r="E18" s="370">
        <v>37035</v>
      </c>
      <c r="F18" s="128">
        <v>41379</v>
      </c>
      <c r="G18" s="370">
        <v>41379</v>
      </c>
      <c r="H18" s="878">
        <f>(G18/E18)*100</f>
        <v>111.72944511948157</v>
      </c>
      <c r="I18" s="364">
        <f t="shared" si="2"/>
        <v>100</v>
      </c>
    </row>
    <row r="19" spans="1:9" ht="26.25">
      <c r="A19" s="203"/>
      <c r="B19" s="208"/>
      <c r="C19" s="209" t="s">
        <v>562</v>
      </c>
      <c r="D19" s="207" t="s">
        <v>240</v>
      </c>
      <c r="E19" s="370">
        <v>0</v>
      </c>
      <c r="F19" s="128">
        <v>3000</v>
      </c>
      <c r="G19" s="370">
        <v>2750</v>
      </c>
      <c r="H19" s="879" t="s">
        <v>280</v>
      </c>
      <c r="I19" s="364">
        <f t="shared" si="2"/>
        <v>91.666666666666657</v>
      </c>
    </row>
    <row r="20" spans="1:9">
      <c r="A20" s="203"/>
      <c r="B20" s="210"/>
      <c r="C20" s="211" t="s">
        <v>262</v>
      </c>
      <c r="D20" s="209" t="s">
        <v>119</v>
      </c>
      <c r="E20" s="370">
        <v>200</v>
      </c>
      <c r="F20" s="128">
        <v>200</v>
      </c>
      <c r="G20" s="31">
        <v>200</v>
      </c>
      <c r="H20" s="878">
        <f t="shared" ref="H20" si="3">(G20/E20)*100</f>
        <v>100</v>
      </c>
      <c r="I20" s="364">
        <f t="shared" si="2"/>
        <v>100</v>
      </c>
    </row>
    <row r="21" spans="1:9" ht="15.75" thickBot="1">
      <c r="A21" s="203"/>
      <c r="B21" s="210">
        <v>555</v>
      </c>
      <c r="C21" s="211" t="s">
        <v>618</v>
      </c>
      <c r="D21" s="209" t="s">
        <v>619</v>
      </c>
      <c r="E21" s="370">
        <v>0</v>
      </c>
      <c r="F21" s="128">
        <v>43.9</v>
      </c>
      <c r="G21" s="880">
        <v>44</v>
      </c>
      <c r="H21" s="881" t="s">
        <v>280</v>
      </c>
      <c r="I21" s="882">
        <f t="shared" si="2"/>
        <v>100.22779043280184</v>
      </c>
    </row>
    <row r="22" spans="1:9" ht="16.5" thickBot="1">
      <c r="A22" s="971" t="s">
        <v>16</v>
      </c>
      <c r="B22" s="972"/>
      <c r="C22" s="973"/>
      <c r="D22" s="212"/>
      <c r="E22" s="738">
        <f>E11+E8</f>
        <v>112243</v>
      </c>
      <c r="F22" s="739">
        <f>F11+F8</f>
        <v>155249.79999999999</v>
      </c>
      <c r="G22" s="738">
        <f>G11+G8</f>
        <v>154667</v>
      </c>
      <c r="H22" s="740">
        <f t="shared" ref="H22" si="4">(G22/E22)*100</f>
        <v>137.79656637830422</v>
      </c>
      <c r="I22" s="541">
        <f t="shared" si="0"/>
        <v>99.624604991439611</v>
      </c>
    </row>
    <row r="23" spans="1:9" ht="15.75" thickBot="1">
      <c r="E23" s="379"/>
      <c r="F23" s="741"/>
      <c r="G23" s="742"/>
      <c r="H23" s="743"/>
      <c r="I23" s="744"/>
    </row>
    <row r="24" spans="1:9">
      <c r="A24" s="7" t="s">
        <v>1</v>
      </c>
      <c r="B24" s="8" t="s">
        <v>2</v>
      </c>
      <c r="C24" s="45" t="s">
        <v>3</v>
      </c>
      <c r="D24" s="9"/>
      <c r="E24" s="8" t="s">
        <v>4</v>
      </c>
      <c r="F24" s="8" t="s">
        <v>312</v>
      </c>
      <c r="G24" s="8" t="s">
        <v>314</v>
      </c>
      <c r="H24" s="8" t="s">
        <v>316</v>
      </c>
      <c r="I24" s="10" t="s">
        <v>316</v>
      </c>
    </row>
    <row r="25" spans="1:9">
      <c r="A25" s="11" t="s">
        <v>5</v>
      </c>
      <c r="B25" s="12" t="s">
        <v>6</v>
      </c>
      <c r="C25" s="46" t="s">
        <v>7</v>
      </c>
      <c r="D25" s="13" t="s">
        <v>8</v>
      </c>
      <c r="E25" s="12" t="s">
        <v>231</v>
      </c>
      <c r="F25" s="12" t="s">
        <v>319</v>
      </c>
      <c r="G25" s="12" t="s">
        <v>315</v>
      </c>
      <c r="H25" s="12" t="s">
        <v>317</v>
      </c>
      <c r="I25" s="14" t="s">
        <v>318</v>
      </c>
    </row>
    <row r="26" spans="1:9" ht="15.75" thickBot="1">
      <c r="A26" s="47" t="s">
        <v>9</v>
      </c>
      <c r="B26" s="15" t="s">
        <v>10</v>
      </c>
      <c r="C26" s="48"/>
      <c r="D26" s="49"/>
      <c r="E26" s="15" t="s">
        <v>408</v>
      </c>
      <c r="F26" s="16">
        <v>46022</v>
      </c>
      <c r="G26" s="16">
        <f>F26</f>
        <v>46022</v>
      </c>
      <c r="H26" s="16" t="s">
        <v>211</v>
      </c>
      <c r="I26" s="17" t="s">
        <v>211</v>
      </c>
    </row>
    <row r="27" spans="1:9" ht="15.75">
      <c r="A27" s="50" t="s">
        <v>320</v>
      </c>
      <c r="B27" s="51"/>
      <c r="C27" s="52"/>
      <c r="D27" s="53"/>
      <c r="E27" s="745"/>
      <c r="F27" s="746"/>
      <c r="G27" s="745"/>
      <c r="H27" s="747"/>
      <c r="I27" s="748"/>
    </row>
    <row r="28" spans="1:9">
      <c r="A28" s="56" t="s">
        <v>256</v>
      </c>
      <c r="B28" s="943" t="s">
        <v>350</v>
      </c>
      <c r="C28" s="943"/>
      <c r="D28" s="943"/>
      <c r="E28" s="386">
        <f>SUM(E29:E31)</f>
        <v>0</v>
      </c>
      <c r="F28" s="387">
        <f>SUM(F29:F31)</f>
        <v>21924.5</v>
      </c>
      <c r="G28" s="386">
        <f>SUM(G29:G31)</f>
        <v>14455</v>
      </c>
      <c r="H28" s="873" t="s">
        <v>280</v>
      </c>
      <c r="I28" s="306">
        <f>(G28/F28)*100</f>
        <v>65.930808000182438</v>
      </c>
    </row>
    <row r="29" spans="1:9" ht="26.25" customHeight="1">
      <c r="A29" s="213" t="s">
        <v>256</v>
      </c>
      <c r="B29" s="214" t="s">
        <v>857</v>
      </c>
      <c r="C29" s="215" t="s">
        <v>440</v>
      </c>
      <c r="D29" s="215" t="s">
        <v>351</v>
      </c>
      <c r="E29" s="131">
        <v>0</v>
      </c>
      <c r="F29" s="128">
        <v>18801</v>
      </c>
      <c r="G29" s="131">
        <v>13210</v>
      </c>
      <c r="H29" s="874" t="s">
        <v>280</v>
      </c>
      <c r="I29" s="364">
        <f t="shared" ref="I29:I31" si="5">(G29/F29)*100</f>
        <v>70.262220094675826</v>
      </c>
    </row>
    <row r="30" spans="1:9" ht="26.25" customHeight="1">
      <c r="A30" s="216" t="s">
        <v>256</v>
      </c>
      <c r="B30" s="214" t="s">
        <v>858</v>
      </c>
      <c r="C30" s="215" t="s">
        <v>441</v>
      </c>
      <c r="D30" s="215" t="s">
        <v>352</v>
      </c>
      <c r="E30" s="131">
        <v>0</v>
      </c>
      <c r="F30" s="128">
        <f>E30+900</f>
        <v>900</v>
      </c>
      <c r="G30" s="476">
        <v>0</v>
      </c>
      <c r="H30" s="874" t="s">
        <v>280</v>
      </c>
      <c r="I30" s="364">
        <f t="shared" si="5"/>
        <v>0</v>
      </c>
    </row>
    <row r="31" spans="1:9" ht="26.25" customHeight="1" thickBot="1">
      <c r="A31" s="216" t="s">
        <v>256</v>
      </c>
      <c r="B31" s="217" t="s">
        <v>859</v>
      </c>
      <c r="C31" s="215" t="s">
        <v>563</v>
      </c>
      <c r="D31" s="215" t="s">
        <v>351</v>
      </c>
      <c r="E31" s="131">
        <v>0</v>
      </c>
      <c r="F31" s="128">
        <v>2223.5</v>
      </c>
      <c r="G31" s="131">
        <v>1245</v>
      </c>
      <c r="H31" s="874" t="s">
        <v>280</v>
      </c>
      <c r="I31" s="364">
        <f t="shared" si="5"/>
        <v>55.992804137620865</v>
      </c>
    </row>
    <row r="32" spans="1:9" ht="16.5" thickBot="1">
      <c r="A32" s="218" t="s">
        <v>322</v>
      </c>
      <c r="B32" s="108"/>
      <c r="C32" s="108"/>
      <c r="D32" s="108"/>
      <c r="E32" s="535">
        <f>E28</f>
        <v>0</v>
      </c>
      <c r="F32" s="536">
        <f>F28</f>
        <v>21924.5</v>
      </c>
      <c r="G32" s="535">
        <f>G28</f>
        <v>14455</v>
      </c>
      <c r="H32" s="749" t="s">
        <v>280</v>
      </c>
      <c r="I32" s="538">
        <f>G32/F32*100</f>
        <v>65.930808000182438</v>
      </c>
    </row>
    <row r="33" spans="1:9" ht="16.5" thickBot="1">
      <c r="A33" s="68"/>
      <c r="B33" s="68"/>
      <c r="C33" s="68"/>
      <c r="D33" s="68"/>
      <c r="E33" s="750"/>
      <c r="F33" s="751"/>
      <c r="G33" s="750"/>
      <c r="H33" s="752"/>
      <c r="I33" s="752"/>
    </row>
    <row r="34" spans="1:9" ht="16.5" thickBot="1">
      <c r="A34" s="69" t="s">
        <v>353</v>
      </c>
      <c r="B34" s="70"/>
      <c r="C34" s="43"/>
      <c r="D34" s="66"/>
      <c r="E34" s="483">
        <f>E22+E32</f>
        <v>112243</v>
      </c>
      <c r="F34" s="484">
        <f>F22+F32</f>
        <v>177174.3</v>
      </c>
      <c r="G34" s="483">
        <f>G22+G32</f>
        <v>169122</v>
      </c>
      <c r="H34" s="485">
        <f>(G34/E34)*100</f>
        <v>150.67487504788716</v>
      </c>
      <c r="I34" s="491">
        <f>(G34/F34)*100</f>
        <v>95.455153484450065</v>
      </c>
    </row>
    <row r="75" ht="15" customHeight="1"/>
    <row r="76" ht="15" customHeight="1"/>
    <row r="78" ht="15" customHeight="1"/>
    <row r="79" ht="15" customHeight="1"/>
    <row r="80" ht="15" customHeight="1"/>
  </sheetData>
  <mergeCells count="4">
    <mergeCell ref="A22:C22"/>
    <mergeCell ref="B28:D28"/>
    <mergeCell ref="B8:C8"/>
    <mergeCell ref="B11:C11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zoomScaleNormal="100" workbookViewId="0">
      <selection activeCell="N30" sqref="N30"/>
    </sheetView>
  </sheetViews>
  <sheetFormatPr defaultRowHeight="15"/>
  <cols>
    <col min="1" max="1" width="11.5703125" customWidth="1"/>
    <col min="2" max="2" width="14.5703125" customWidth="1"/>
    <col min="3" max="3" width="55" customWidth="1"/>
    <col min="4" max="4" width="46.42578125" customWidth="1"/>
    <col min="5" max="7" width="14.7109375" customWidth="1"/>
    <col min="12" max="12" width="11" bestFit="1" customWidth="1"/>
  </cols>
  <sheetData>
    <row r="1" spans="1:9" ht="18">
      <c r="A1" s="893" t="s">
        <v>120</v>
      </c>
      <c r="B1" s="134"/>
      <c r="C1" s="894"/>
      <c r="D1" s="134"/>
    </row>
    <row r="2" spans="1:9" ht="16.5" thickBot="1">
      <c r="A2" s="134"/>
      <c r="B2" s="893"/>
      <c r="C2" s="893"/>
      <c r="D2" s="134"/>
      <c r="G2" s="6"/>
      <c r="I2" s="6" t="s">
        <v>808</v>
      </c>
    </row>
    <row r="3" spans="1:9">
      <c r="A3" s="135" t="s">
        <v>1</v>
      </c>
      <c r="B3" s="137" t="s">
        <v>2</v>
      </c>
      <c r="C3" s="136" t="s">
        <v>3</v>
      </c>
      <c r="D3" s="138"/>
      <c r="E3" s="8" t="s">
        <v>4</v>
      </c>
      <c r="F3" s="8" t="s">
        <v>312</v>
      </c>
      <c r="G3" s="8" t="s">
        <v>314</v>
      </c>
      <c r="H3" s="73" t="s">
        <v>316</v>
      </c>
      <c r="I3" s="10" t="s">
        <v>316</v>
      </c>
    </row>
    <row r="4" spans="1:9">
      <c r="A4" s="140" t="s">
        <v>5</v>
      </c>
      <c r="B4" s="142" t="s">
        <v>6</v>
      </c>
      <c r="C4" s="141" t="s">
        <v>7</v>
      </c>
      <c r="D4" s="143" t="s">
        <v>8</v>
      </c>
      <c r="E4" s="12" t="s">
        <v>231</v>
      </c>
      <c r="F4" s="12" t="s">
        <v>319</v>
      </c>
      <c r="G4" s="12" t="s">
        <v>315</v>
      </c>
      <c r="H4" s="76" t="s">
        <v>317</v>
      </c>
      <c r="I4" s="14" t="s">
        <v>318</v>
      </c>
    </row>
    <row r="5" spans="1:9" ht="15.75" thickBot="1">
      <c r="A5" s="895" t="s">
        <v>9</v>
      </c>
      <c r="B5" s="147" t="s">
        <v>10</v>
      </c>
      <c r="C5" s="146"/>
      <c r="D5" s="148"/>
      <c r="E5" s="15" t="s">
        <v>408</v>
      </c>
      <c r="F5" s="16">
        <v>46022</v>
      </c>
      <c r="G5" s="16">
        <f>F5</f>
        <v>46022</v>
      </c>
      <c r="H5" s="79" t="s">
        <v>211</v>
      </c>
      <c r="I5" s="17" t="s">
        <v>211</v>
      </c>
    </row>
    <row r="6" spans="1:9" ht="15.75">
      <c r="A6" s="896" t="s">
        <v>11</v>
      </c>
      <c r="B6" s="897"/>
      <c r="C6" s="897"/>
      <c r="D6" s="897"/>
      <c r="E6" s="80"/>
      <c r="F6" s="80"/>
      <c r="G6" s="21"/>
      <c r="I6" s="117"/>
    </row>
    <row r="7" spans="1:9">
      <c r="A7" s="898" t="s">
        <v>121</v>
      </c>
      <c r="B7" s="899" t="s">
        <v>416</v>
      </c>
      <c r="C7" s="899"/>
      <c r="D7" s="900"/>
      <c r="E7" s="901">
        <f>SUM(E8:E27)</f>
        <v>29826</v>
      </c>
      <c r="F7" s="902">
        <f>SUM(F8:F27)</f>
        <v>36242.800000000003</v>
      </c>
      <c r="G7" s="27">
        <f>SUM(G8:G28)</f>
        <v>34701</v>
      </c>
      <c r="H7" s="903">
        <f>G7/E7*100</f>
        <v>116.34479983906658</v>
      </c>
      <c r="I7" s="904">
        <f>G7/F7*100</f>
        <v>95.745913671129159</v>
      </c>
    </row>
    <row r="8" spans="1:9">
      <c r="A8" s="898"/>
      <c r="B8" s="905">
        <v>611</v>
      </c>
      <c r="C8" s="906" t="s">
        <v>122</v>
      </c>
      <c r="D8" s="81" t="s">
        <v>123</v>
      </c>
      <c r="E8" s="124">
        <v>600</v>
      </c>
      <c r="F8" s="132">
        <v>600</v>
      </c>
      <c r="G8" s="31">
        <v>585</v>
      </c>
      <c r="H8" s="907">
        <f>G8/E8*100</f>
        <v>97.5</v>
      </c>
      <c r="I8" s="908">
        <f>G8/F8*100</f>
        <v>97.5</v>
      </c>
    </row>
    <row r="9" spans="1:9">
      <c r="A9" s="898"/>
      <c r="B9" s="905">
        <v>619</v>
      </c>
      <c r="C9" s="906" t="s">
        <v>269</v>
      </c>
      <c r="D9" s="81" t="s">
        <v>123</v>
      </c>
      <c r="E9" s="124">
        <v>700</v>
      </c>
      <c r="F9" s="132">
        <v>808</v>
      </c>
      <c r="G9" s="31">
        <v>798</v>
      </c>
      <c r="H9" s="907">
        <f t="shared" ref="H9:H34" si="0">G9/E9*100</f>
        <v>113.99999999999999</v>
      </c>
      <c r="I9" s="908">
        <f t="shared" ref="I9:I34" si="1">G9/F9*100</f>
        <v>98.762376237623755</v>
      </c>
    </row>
    <row r="10" spans="1:9">
      <c r="A10" s="898"/>
      <c r="B10" s="84" t="s">
        <v>124</v>
      </c>
      <c r="C10" s="906" t="s">
        <v>229</v>
      </c>
      <c r="D10" s="909" t="s">
        <v>125</v>
      </c>
      <c r="E10" s="124">
        <v>900</v>
      </c>
      <c r="F10" s="132">
        <v>900</v>
      </c>
      <c r="G10" s="31">
        <v>877</v>
      </c>
      <c r="H10" s="907">
        <f t="shared" si="0"/>
        <v>97.444444444444443</v>
      </c>
      <c r="I10" s="908">
        <f t="shared" si="1"/>
        <v>97.444444444444443</v>
      </c>
    </row>
    <row r="11" spans="1:9">
      <c r="A11" s="898"/>
      <c r="B11" s="84" t="s">
        <v>417</v>
      </c>
      <c r="C11" s="906" t="s">
        <v>418</v>
      </c>
      <c r="D11" s="909" t="s">
        <v>125</v>
      </c>
      <c r="E11" s="124">
        <v>100</v>
      </c>
      <c r="F11" s="132">
        <v>100</v>
      </c>
      <c r="G11" s="31">
        <v>89</v>
      </c>
      <c r="H11" s="907">
        <f t="shared" si="0"/>
        <v>89</v>
      </c>
      <c r="I11" s="908">
        <f t="shared" si="1"/>
        <v>89</v>
      </c>
    </row>
    <row r="12" spans="1:9" ht="15" customHeight="1">
      <c r="A12" s="83"/>
      <c r="B12" s="84" t="s">
        <v>126</v>
      </c>
      <c r="C12" s="906" t="s">
        <v>127</v>
      </c>
      <c r="D12" s="909" t="s">
        <v>128</v>
      </c>
      <c r="E12" s="124">
        <v>4200</v>
      </c>
      <c r="F12" s="132">
        <v>3315</v>
      </c>
      <c r="G12" s="31">
        <v>3278</v>
      </c>
      <c r="H12" s="907">
        <f t="shared" si="0"/>
        <v>78.047619047619037</v>
      </c>
      <c r="I12" s="908">
        <f t="shared" si="1"/>
        <v>98.883861236802417</v>
      </c>
    </row>
    <row r="13" spans="1:9" ht="15" customHeight="1">
      <c r="A13" s="83"/>
      <c r="B13" s="84" t="s">
        <v>299</v>
      </c>
      <c r="C13" s="81" t="s">
        <v>129</v>
      </c>
      <c r="D13" s="906" t="s">
        <v>130</v>
      </c>
      <c r="E13" s="124">
        <v>250</v>
      </c>
      <c r="F13" s="132">
        <v>500</v>
      </c>
      <c r="G13" s="31">
        <v>462</v>
      </c>
      <c r="H13" s="907">
        <f t="shared" si="0"/>
        <v>184.8</v>
      </c>
      <c r="I13" s="908">
        <f t="shared" si="1"/>
        <v>92.4</v>
      </c>
    </row>
    <row r="14" spans="1:9">
      <c r="A14" s="83"/>
      <c r="B14" s="84"/>
      <c r="C14" s="81" t="s">
        <v>305</v>
      </c>
      <c r="D14" s="906" t="s">
        <v>306</v>
      </c>
      <c r="E14" s="124">
        <v>100</v>
      </c>
      <c r="F14" s="132">
        <v>110</v>
      </c>
      <c r="G14" s="31">
        <v>95</v>
      </c>
      <c r="H14" s="907">
        <f t="shared" si="0"/>
        <v>95</v>
      </c>
      <c r="I14" s="908">
        <f t="shared" si="1"/>
        <v>86.36363636363636</v>
      </c>
    </row>
    <row r="15" spans="1:9">
      <c r="A15" s="83"/>
      <c r="B15" s="84"/>
      <c r="C15" s="81" t="s">
        <v>131</v>
      </c>
      <c r="D15" s="81" t="s">
        <v>132</v>
      </c>
      <c r="E15" s="124">
        <v>450</v>
      </c>
      <c r="F15" s="132">
        <v>160</v>
      </c>
      <c r="G15" s="31">
        <v>94</v>
      </c>
      <c r="H15" s="907">
        <f t="shared" si="0"/>
        <v>20.888888888888889</v>
      </c>
      <c r="I15" s="908">
        <f t="shared" si="1"/>
        <v>58.75</v>
      </c>
    </row>
    <row r="16" spans="1:9">
      <c r="A16" s="83"/>
      <c r="B16" s="84"/>
      <c r="C16" s="906" t="s">
        <v>133</v>
      </c>
      <c r="D16" s="81" t="s">
        <v>134</v>
      </c>
      <c r="E16" s="124">
        <v>450</v>
      </c>
      <c r="F16" s="132">
        <v>324</v>
      </c>
      <c r="G16" s="31">
        <v>253</v>
      </c>
      <c r="H16" s="907">
        <f t="shared" si="0"/>
        <v>56.222222222222214</v>
      </c>
      <c r="I16" s="908">
        <f t="shared" si="1"/>
        <v>78.086419753086417</v>
      </c>
    </row>
    <row r="17" spans="1:9">
      <c r="A17" s="898"/>
      <c r="B17" s="899"/>
      <c r="C17" s="906" t="s">
        <v>135</v>
      </c>
      <c r="D17" s="906" t="s">
        <v>136</v>
      </c>
      <c r="E17" s="124">
        <v>700</v>
      </c>
      <c r="F17" s="132">
        <v>600</v>
      </c>
      <c r="G17" s="31">
        <v>493</v>
      </c>
      <c r="H17" s="907">
        <f t="shared" si="0"/>
        <v>70.428571428571431</v>
      </c>
      <c r="I17" s="908">
        <f t="shared" si="1"/>
        <v>82.166666666666671</v>
      </c>
    </row>
    <row r="18" spans="1:9">
      <c r="A18" s="898"/>
      <c r="B18" s="899"/>
      <c r="C18" s="906" t="s">
        <v>284</v>
      </c>
      <c r="D18" s="906" t="s">
        <v>274</v>
      </c>
      <c r="E18" s="124">
        <v>1050</v>
      </c>
      <c r="F18" s="132">
        <v>134.80000000000001</v>
      </c>
      <c r="G18" s="31">
        <v>134</v>
      </c>
      <c r="H18" s="907">
        <f t="shared" si="0"/>
        <v>12.761904761904763</v>
      </c>
      <c r="I18" s="908">
        <f t="shared" si="1"/>
        <v>99.406528189910972</v>
      </c>
    </row>
    <row r="19" spans="1:9">
      <c r="A19" s="83"/>
      <c r="B19" s="122"/>
      <c r="C19" s="906" t="s">
        <v>625</v>
      </c>
      <c r="D19" s="906" t="s">
        <v>137</v>
      </c>
      <c r="E19" s="124">
        <v>4376</v>
      </c>
      <c r="F19" s="132">
        <v>7111.4</v>
      </c>
      <c r="G19" s="31">
        <v>6717</v>
      </c>
      <c r="H19" s="907">
        <f t="shared" si="0"/>
        <v>153.4963436928702</v>
      </c>
      <c r="I19" s="908">
        <f t="shared" si="1"/>
        <v>94.453975307253145</v>
      </c>
    </row>
    <row r="20" spans="1:9">
      <c r="A20" s="83"/>
      <c r="B20" s="84" t="s">
        <v>283</v>
      </c>
      <c r="C20" s="906" t="s">
        <v>275</v>
      </c>
      <c r="D20" s="906" t="s">
        <v>137</v>
      </c>
      <c r="E20" s="124">
        <v>2500</v>
      </c>
      <c r="F20" s="132">
        <v>2500</v>
      </c>
      <c r="G20" s="31">
        <v>2193</v>
      </c>
      <c r="H20" s="907">
        <f t="shared" si="0"/>
        <v>87.72</v>
      </c>
      <c r="I20" s="908">
        <f t="shared" si="1"/>
        <v>87.72</v>
      </c>
    </row>
    <row r="21" spans="1:9">
      <c r="A21" s="83"/>
      <c r="B21" s="910" t="s">
        <v>300</v>
      </c>
      <c r="C21" s="906" t="s">
        <v>419</v>
      </c>
      <c r="D21" s="906" t="s">
        <v>137</v>
      </c>
      <c r="E21" s="124">
        <v>150</v>
      </c>
      <c r="F21" s="132">
        <v>150</v>
      </c>
      <c r="G21" s="31">
        <v>150</v>
      </c>
      <c r="H21" s="907">
        <f t="shared" si="0"/>
        <v>100</v>
      </c>
      <c r="I21" s="908">
        <f t="shared" si="1"/>
        <v>100</v>
      </c>
    </row>
    <row r="22" spans="1:9">
      <c r="A22" s="83"/>
      <c r="B22" s="910" t="s">
        <v>301</v>
      </c>
      <c r="C22" s="906" t="s">
        <v>302</v>
      </c>
      <c r="D22" s="906" t="s">
        <v>137</v>
      </c>
      <c r="E22" s="124">
        <v>600</v>
      </c>
      <c r="F22" s="132">
        <v>550</v>
      </c>
      <c r="G22" s="31">
        <v>492</v>
      </c>
      <c r="H22" s="907">
        <f t="shared" si="0"/>
        <v>82</v>
      </c>
      <c r="I22" s="908">
        <f t="shared" si="1"/>
        <v>89.454545454545453</v>
      </c>
    </row>
    <row r="23" spans="1:9">
      <c r="A23" s="219"/>
      <c r="B23" s="84" t="s">
        <v>213</v>
      </c>
      <c r="C23" s="906" t="s">
        <v>221</v>
      </c>
      <c r="D23" s="906" t="s">
        <v>130</v>
      </c>
      <c r="E23" s="124">
        <v>9000</v>
      </c>
      <c r="F23" s="132">
        <v>13457</v>
      </c>
      <c r="G23" s="31">
        <v>13457</v>
      </c>
      <c r="H23" s="907">
        <f t="shared" si="0"/>
        <v>149.52222222222221</v>
      </c>
      <c r="I23" s="908">
        <f t="shared" si="1"/>
        <v>100</v>
      </c>
    </row>
    <row r="24" spans="1:9" ht="27.75" customHeight="1">
      <c r="A24" s="219"/>
      <c r="B24" s="84"/>
      <c r="C24" s="911" t="s">
        <v>310</v>
      </c>
      <c r="D24" s="912" t="s">
        <v>243</v>
      </c>
      <c r="E24" s="124">
        <v>400</v>
      </c>
      <c r="F24" s="132">
        <v>532.4</v>
      </c>
      <c r="G24" s="31">
        <v>484</v>
      </c>
      <c r="H24" s="907">
        <f t="shared" si="0"/>
        <v>121</v>
      </c>
      <c r="I24" s="908">
        <f t="shared" si="1"/>
        <v>90.909090909090921</v>
      </c>
    </row>
    <row r="25" spans="1:9" ht="15" customHeight="1">
      <c r="A25" s="219"/>
      <c r="B25" s="84" t="s">
        <v>286</v>
      </c>
      <c r="C25" s="906" t="s">
        <v>287</v>
      </c>
      <c r="D25" s="906" t="s">
        <v>137</v>
      </c>
      <c r="E25" s="124">
        <v>900</v>
      </c>
      <c r="F25" s="132">
        <v>664.5</v>
      </c>
      <c r="G25" s="31">
        <v>664</v>
      </c>
      <c r="H25" s="907">
        <f t="shared" si="0"/>
        <v>73.777777777777771</v>
      </c>
      <c r="I25" s="908">
        <f t="shared" si="1"/>
        <v>99.924755455229501</v>
      </c>
    </row>
    <row r="26" spans="1:9">
      <c r="A26" s="83"/>
      <c r="B26" s="84" t="s">
        <v>285</v>
      </c>
      <c r="C26" s="906" t="s">
        <v>270</v>
      </c>
      <c r="D26" s="81" t="s">
        <v>134</v>
      </c>
      <c r="E26" s="124">
        <v>2400</v>
      </c>
      <c r="F26" s="132">
        <v>2400</v>
      </c>
      <c r="G26" s="31">
        <v>2294</v>
      </c>
      <c r="H26" s="907">
        <f t="shared" si="0"/>
        <v>95.583333333333329</v>
      </c>
      <c r="I26" s="908">
        <f t="shared" si="1"/>
        <v>95.583333333333329</v>
      </c>
    </row>
    <row r="27" spans="1:9">
      <c r="A27" s="83"/>
      <c r="B27" s="84" t="s">
        <v>564</v>
      </c>
      <c r="C27" s="906" t="s">
        <v>565</v>
      </c>
      <c r="D27" s="906" t="s">
        <v>137</v>
      </c>
      <c r="E27" s="124">
        <v>0</v>
      </c>
      <c r="F27" s="132">
        <v>1325.7</v>
      </c>
      <c r="G27" s="31">
        <v>1092</v>
      </c>
      <c r="H27" s="913" t="s">
        <v>280</v>
      </c>
      <c r="I27" s="908">
        <f t="shared" si="1"/>
        <v>82.371577279927592</v>
      </c>
    </row>
    <row r="28" spans="1:9">
      <c r="A28" s="83"/>
      <c r="B28" s="84"/>
      <c r="C28" s="906"/>
      <c r="D28" s="81"/>
      <c r="E28" s="124"/>
      <c r="F28" s="132"/>
      <c r="G28" s="27"/>
      <c r="H28" s="907"/>
      <c r="I28" s="908"/>
    </row>
    <row r="29" spans="1:9">
      <c r="A29" s="898" t="s">
        <v>138</v>
      </c>
      <c r="B29" s="899" t="s">
        <v>198</v>
      </c>
      <c r="C29" s="914"/>
      <c r="D29" s="914"/>
      <c r="E29" s="25">
        <f>SUM(E30:E33)</f>
        <v>1105</v>
      </c>
      <c r="F29" s="26">
        <f>SUM(F30:F33)</f>
        <v>1105</v>
      </c>
      <c r="G29" s="25">
        <f>SUM(G30:G33)</f>
        <v>576</v>
      </c>
      <c r="H29" s="903">
        <f>G29/E29*100</f>
        <v>52.126696832579192</v>
      </c>
      <c r="I29" s="904">
        <f>G29/F29*100</f>
        <v>52.126696832579192</v>
      </c>
    </row>
    <row r="30" spans="1:9" ht="15" customHeight="1">
      <c r="A30" s="978"/>
      <c r="B30" s="990"/>
      <c r="C30" s="982" t="s">
        <v>227</v>
      </c>
      <c r="D30" s="984" t="s">
        <v>139</v>
      </c>
      <c r="E30" s="988">
        <v>105</v>
      </c>
      <c r="F30" s="992">
        <v>105</v>
      </c>
      <c r="G30" s="988">
        <v>0</v>
      </c>
      <c r="H30" s="994">
        <f t="shared" si="0"/>
        <v>0</v>
      </c>
      <c r="I30" s="986">
        <f t="shared" si="1"/>
        <v>0</v>
      </c>
    </row>
    <row r="31" spans="1:9">
      <c r="A31" s="979"/>
      <c r="B31" s="991"/>
      <c r="C31" s="983"/>
      <c r="D31" s="985"/>
      <c r="E31" s="989"/>
      <c r="F31" s="993"/>
      <c r="G31" s="989"/>
      <c r="H31" s="995"/>
      <c r="I31" s="987"/>
    </row>
    <row r="32" spans="1:9">
      <c r="A32" s="83"/>
      <c r="B32" s="84" t="s">
        <v>140</v>
      </c>
      <c r="C32" s="906" t="s">
        <v>228</v>
      </c>
      <c r="D32" s="906" t="s">
        <v>139</v>
      </c>
      <c r="E32" s="124">
        <v>800</v>
      </c>
      <c r="F32" s="132">
        <v>800</v>
      </c>
      <c r="G32" s="915">
        <v>517</v>
      </c>
      <c r="H32" s="907">
        <f t="shared" si="0"/>
        <v>64.625</v>
      </c>
      <c r="I32" s="908">
        <f t="shared" si="1"/>
        <v>64.625</v>
      </c>
    </row>
    <row r="33" spans="1:9" ht="15.75" thickBot="1">
      <c r="A33" s="125"/>
      <c r="B33" s="85"/>
      <c r="C33" s="24" t="s">
        <v>141</v>
      </c>
      <c r="D33" s="86" t="s">
        <v>134</v>
      </c>
      <c r="E33" s="127">
        <v>200</v>
      </c>
      <c r="F33" s="128">
        <v>200</v>
      </c>
      <c r="G33" s="915">
        <v>59</v>
      </c>
      <c r="H33" s="907">
        <f t="shared" si="0"/>
        <v>29.5</v>
      </c>
      <c r="I33" s="908">
        <f t="shared" si="1"/>
        <v>29.5</v>
      </c>
    </row>
    <row r="34" spans="1:9" ht="16.5" thickBot="1">
      <c r="A34" s="980" t="s">
        <v>16</v>
      </c>
      <c r="B34" s="981"/>
      <c r="C34" s="981"/>
      <c r="D34" s="43"/>
      <c r="E34" s="44">
        <f>E7+E29</f>
        <v>30931</v>
      </c>
      <c r="F34" s="372">
        <f>F7+F29</f>
        <v>37347.800000000003</v>
      </c>
      <c r="G34" s="44">
        <f>G7+G29</f>
        <v>35277</v>
      </c>
      <c r="H34" s="916">
        <f t="shared" si="0"/>
        <v>114.05062881898419</v>
      </c>
      <c r="I34" s="917">
        <f t="shared" si="1"/>
        <v>94.455362832616643</v>
      </c>
    </row>
    <row r="35" spans="1:9" ht="16.5" thickBot="1">
      <c r="A35" s="918"/>
      <c r="B35" s="918"/>
      <c r="C35" s="918"/>
      <c r="D35" s="918"/>
      <c r="E35" s="919"/>
      <c r="F35" s="920"/>
      <c r="G35" s="651"/>
      <c r="H35" s="921"/>
      <c r="I35" s="921"/>
    </row>
    <row r="36" spans="1:9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</row>
    <row r="37" spans="1:9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</row>
    <row r="38" spans="1:9" ht="15.75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</row>
    <row r="39" spans="1:9" ht="15.75">
      <c r="A39" s="50" t="s">
        <v>320</v>
      </c>
      <c r="B39" s="51"/>
      <c r="C39" s="52"/>
      <c r="D39" s="53"/>
      <c r="E39" s="922"/>
      <c r="F39" s="923"/>
      <c r="G39" s="745"/>
      <c r="H39" s="747"/>
      <c r="I39" s="748"/>
    </row>
    <row r="40" spans="1:9">
      <c r="A40" s="56" t="s">
        <v>121</v>
      </c>
      <c r="B40" s="899" t="s">
        <v>416</v>
      </c>
      <c r="C40" s="886"/>
      <c r="D40" s="886"/>
      <c r="E40" s="57">
        <f>SUM(E41:E43)</f>
        <v>2200</v>
      </c>
      <c r="F40" s="58">
        <f>SUM(F41:F43)</f>
        <v>1400</v>
      </c>
      <c r="G40" s="57">
        <f>SUM(G41:G43)</f>
        <v>342</v>
      </c>
      <c r="H40" s="29">
        <f t="shared" ref="H40:H44" si="2">G40/E40*100</f>
        <v>15.545454545454545</v>
      </c>
      <c r="I40" s="29">
        <f>(G40/F40)*100</f>
        <v>24.428571428571427</v>
      </c>
    </row>
    <row r="41" spans="1:9">
      <c r="A41" s="213" t="s">
        <v>121</v>
      </c>
      <c r="B41" s="59" t="s">
        <v>860</v>
      </c>
      <c r="C41" s="215" t="s">
        <v>442</v>
      </c>
      <c r="D41" s="215" t="s">
        <v>446</v>
      </c>
      <c r="E41" s="924">
        <v>500</v>
      </c>
      <c r="F41" s="925">
        <v>500</v>
      </c>
      <c r="G41" s="926">
        <v>157</v>
      </c>
      <c r="H41" s="907">
        <f t="shared" si="2"/>
        <v>31.4</v>
      </c>
      <c r="I41" s="34">
        <f t="shared" ref="I41" si="3">(G41/F41)*100</f>
        <v>31.4</v>
      </c>
    </row>
    <row r="42" spans="1:9" ht="26.25">
      <c r="A42" s="213" t="s">
        <v>121</v>
      </c>
      <c r="B42" s="59" t="s">
        <v>861</v>
      </c>
      <c r="C42" s="927" t="s">
        <v>443</v>
      </c>
      <c r="D42" s="215" t="s">
        <v>445</v>
      </c>
      <c r="E42" s="924">
        <v>800</v>
      </c>
      <c r="F42" s="925">
        <v>0</v>
      </c>
      <c r="G42" s="926">
        <v>0</v>
      </c>
      <c r="H42" s="907">
        <f t="shared" si="2"/>
        <v>0</v>
      </c>
      <c r="I42" s="64" t="s">
        <v>280</v>
      </c>
    </row>
    <row r="43" spans="1:9" ht="15.75" thickBot="1">
      <c r="A43" s="216" t="s">
        <v>121</v>
      </c>
      <c r="B43" s="59" t="s">
        <v>862</v>
      </c>
      <c r="C43" s="215" t="s">
        <v>444</v>
      </c>
      <c r="D43" s="215" t="s">
        <v>446</v>
      </c>
      <c r="E43" s="124">
        <v>900</v>
      </c>
      <c r="F43" s="928">
        <v>900</v>
      </c>
      <c r="G43" s="476">
        <v>185</v>
      </c>
      <c r="H43" s="907">
        <f t="shared" si="2"/>
        <v>20.555555555555554</v>
      </c>
      <c r="I43" s="34">
        <f t="shared" ref="I43" si="4">(G43/F43)*100</f>
        <v>20.555555555555554</v>
      </c>
    </row>
    <row r="44" spans="1:9" ht="16.5" thickBot="1">
      <c r="A44" s="218" t="s">
        <v>322</v>
      </c>
      <c r="B44" s="108"/>
      <c r="C44" s="108"/>
      <c r="D44" s="108"/>
      <c r="E44" s="44">
        <f>E40</f>
        <v>2200</v>
      </c>
      <c r="F44" s="372">
        <f>F40</f>
        <v>1400</v>
      </c>
      <c r="G44" s="44">
        <f>G40</f>
        <v>342</v>
      </c>
      <c r="H44" s="916">
        <f t="shared" si="2"/>
        <v>15.545454545454545</v>
      </c>
      <c r="I44" s="917">
        <f>G44/F44*100</f>
        <v>24.428571428571427</v>
      </c>
    </row>
    <row r="45" spans="1:9" ht="16.5" thickBot="1">
      <c r="A45" s="68"/>
      <c r="B45" s="68"/>
      <c r="C45" s="68"/>
      <c r="D45" s="68"/>
      <c r="E45" s="929"/>
      <c r="F45" s="930"/>
      <c r="G45" s="929"/>
      <c r="H45" s="931"/>
      <c r="I45" s="931"/>
    </row>
    <row r="46" spans="1:9" ht="16.5" thickBot="1">
      <c r="A46" s="957" t="s">
        <v>354</v>
      </c>
      <c r="B46" s="976"/>
      <c r="C46" s="977"/>
      <c r="D46" s="932"/>
      <c r="E46" s="933">
        <f>E34+E44</f>
        <v>33131</v>
      </c>
      <c r="F46" s="934">
        <f>F34+F44</f>
        <v>38747.800000000003</v>
      </c>
      <c r="G46" s="933">
        <f>G34+G44</f>
        <v>35619</v>
      </c>
      <c r="H46" s="935">
        <f>(G46/E46)*100</f>
        <v>107.50958316984094</v>
      </c>
      <c r="I46" s="936">
        <f>(G46/F46)*100</f>
        <v>91.92521898017435</v>
      </c>
    </row>
  </sheetData>
  <mergeCells count="11">
    <mergeCell ref="I30:I31"/>
    <mergeCell ref="E30:E31"/>
    <mergeCell ref="B30:B31"/>
    <mergeCell ref="F30:F31"/>
    <mergeCell ref="G30:G31"/>
    <mergeCell ref="H30:H31"/>
    <mergeCell ref="A46:C46"/>
    <mergeCell ref="A30:A31"/>
    <mergeCell ref="A34:C34"/>
    <mergeCell ref="C30:C31"/>
    <mergeCell ref="D30:D31"/>
  </mergeCells>
  <printOptions horizontalCentered="1"/>
  <pageMargins left="0.51181102362204722" right="0" top="0.19685039370078741" bottom="0.19685039370078741" header="0" footer="0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33"/>
  <sheetViews>
    <sheetView zoomScaleNormal="100" workbookViewId="0">
      <selection activeCell="N25" sqref="N25"/>
    </sheetView>
  </sheetViews>
  <sheetFormatPr defaultRowHeight="15"/>
  <cols>
    <col min="1" max="1" width="11.42578125" customWidth="1"/>
    <col min="2" max="2" width="15.42578125" customWidth="1"/>
    <col min="3" max="3" width="46" customWidth="1"/>
    <col min="4" max="4" width="38" customWidth="1"/>
    <col min="5" max="6" width="13.28515625" customWidth="1"/>
    <col min="7" max="7" width="14.7109375" customWidth="1"/>
  </cols>
  <sheetData>
    <row r="2" spans="1:9" ht="15.75">
      <c r="A2" s="110" t="s">
        <v>142</v>
      </c>
    </row>
    <row r="3" spans="1:9" ht="15.75" thickBot="1">
      <c r="G3" s="6"/>
      <c r="I3" s="6" t="s">
        <v>807</v>
      </c>
    </row>
    <row r="4" spans="1:9" ht="14.1" customHeight="1">
      <c r="A4" s="220" t="s">
        <v>1</v>
      </c>
      <c r="B4" s="168" t="s">
        <v>2</v>
      </c>
      <c r="C4" s="169" t="s">
        <v>3</v>
      </c>
      <c r="D4" s="221"/>
      <c r="E4" s="8" t="s">
        <v>4</v>
      </c>
      <c r="F4" s="8" t="s">
        <v>312</v>
      </c>
      <c r="G4" s="111" t="s">
        <v>314</v>
      </c>
      <c r="H4" s="111" t="s">
        <v>316</v>
      </c>
      <c r="I4" s="139" t="s">
        <v>316</v>
      </c>
    </row>
    <row r="5" spans="1:9" ht="14.1" customHeight="1">
      <c r="A5" s="222" t="s">
        <v>5</v>
      </c>
      <c r="B5" s="171" t="s">
        <v>6</v>
      </c>
      <c r="C5" s="172" t="s">
        <v>7</v>
      </c>
      <c r="D5" s="173" t="s">
        <v>8</v>
      </c>
      <c r="E5" s="12" t="s">
        <v>231</v>
      </c>
      <c r="F5" s="12" t="s">
        <v>319</v>
      </c>
      <c r="G5" s="112" t="s">
        <v>315</v>
      </c>
      <c r="H5" s="112" t="s">
        <v>317</v>
      </c>
      <c r="I5" s="144" t="s">
        <v>318</v>
      </c>
    </row>
    <row r="6" spans="1:9" ht="14.1" customHeight="1" thickBot="1">
      <c r="A6" s="223" t="s">
        <v>9</v>
      </c>
      <c r="B6" s="175" t="s">
        <v>10</v>
      </c>
      <c r="C6" s="176"/>
      <c r="D6" s="177"/>
      <c r="E6" s="15" t="s">
        <v>408</v>
      </c>
      <c r="F6" s="16">
        <v>46022</v>
      </c>
      <c r="G6" s="16">
        <v>46022</v>
      </c>
      <c r="H6" s="16" t="s">
        <v>211</v>
      </c>
      <c r="I6" s="224" t="s">
        <v>211</v>
      </c>
    </row>
    <row r="7" spans="1:9" ht="15.75">
      <c r="A7" s="225" t="s">
        <v>11</v>
      </c>
      <c r="B7" s="226"/>
      <c r="C7" s="227"/>
      <c r="D7" s="228"/>
      <c r="E7" s="229"/>
      <c r="F7" s="230"/>
      <c r="G7" s="230"/>
      <c r="H7" s="231"/>
      <c r="I7" s="185"/>
    </row>
    <row r="8" spans="1:9" ht="15" customHeight="1">
      <c r="A8" s="232" t="s">
        <v>264</v>
      </c>
      <c r="B8" s="996" t="s">
        <v>263</v>
      </c>
      <c r="C8" s="997"/>
      <c r="D8" s="233"/>
      <c r="E8" s="234">
        <f>E9+E19+E13+E16</f>
        <v>2875</v>
      </c>
      <c r="F8" s="58">
        <f>F9+F19+F13+F16</f>
        <v>3108.3</v>
      </c>
      <c r="G8" s="234">
        <f>G9+G19+G13+G16</f>
        <v>2439</v>
      </c>
      <c r="H8" s="28">
        <f>(G8/E8)*100</f>
        <v>84.834782608695647</v>
      </c>
      <c r="I8" s="29">
        <f>(G8/F8)*100</f>
        <v>78.467329408358268</v>
      </c>
    </row>
    <row r="9" spans="1:9" ht="15" customHeight="1">
      <c r="A9" s="235"/>
      <c r="B9" s="236"/>
      <c r="C9" s="237"/>
      <c r="D9" s="238" t="s">
        <v>143</v>
      </c>
      <c r="E9" s="157">
        <f>SUM(E10)</f>
        <v>1310</v>
      </c>
      <c r="F9" s="58">
        <f>SUM(F10)</f>
        <v>1090.3</v>
      </c>
      <c r="G9" s="157">
        <f>SUM(G10)</f>
        <v>1087</v>
      </c>
      <c r="H9" s="28">
        <f>(G9/E9)*100</f>
        <v>82.977099236641223</v>
      </c>
      <c r="I9" s="29">
        <f>(G9/F9)*100</f>
        <v>99.697331009813823</v>
      </c>
    </row>
    <row r="10" spans="1:9" ht="15" customHeight="1">
      <c r="A10" s="235"/>
      <c r="B10" s="236"/>
      <c r="C10" s="239" t="s">
        <v>420</v>
      </c>
      <c r="D10" s="240"/>
      <c r="E10" s="241">
        <v>1310</v>
      </c>
      <c r="F10" s="242">
        <v>1090.3</v>
      </c>
      <c r="G10" s="241">
        <v>1087</v>
      </c>
      <c r="H10" s="33">
        <f>(G10/E10)*100</f>
        <v>82.977099236641223</v>
      </c>
      <c r="I10" s="34">
        <f t="shared" ref="I10" si="0">(G10/F10)*100</f>
        <v>99.697331009813823</v>
      </c>
    </row>
    <row r="11" spans="1:9" ht="15" customHeight="1">
      <c r="A11" s="235"/>
      <c r="B11" s="236"/>
      <c r="C11" s="239"/>
      <c r="D11" s="243"/>
      <c r="E11" s="244"/>
      <c r="F11" s="245"/>
      <c r="G11" s="246"/>
      <c r="H11" s="33"/>
      <c r="I11" s="34"/>
    </row>
    <row r="12" spans="1:9" ht="15" customHeight="1">
      <c r="A12" s="235"/>
      <c r="B12" s="236"/>
      <c r="C12" s="239"/>
      <c r="D12" s="247"/>
      <c r="E12" s="241"/>
      <c r="F12" s="241"/>
      <c r="G12" s="241">
        <v>0</v>
      </c>
      <c r="H12" s="33"/>
      <c r="I12" s="34"/>
    </row>
    <row r="13" spans="1:9" ht="15" customHeight="1">
      <c r="A13" s="235"/>
      <c r="B13" s="236"/>
      <c r="C13" s="239" t="s">
        <v>278</v>
      </c>
      <c r="D13" s="238" t="s">
        <v>290</v>
      </c>
      <c r="E13" s="157">
        <f>SUM(E14)</f>
        <v>1320</v>
      </c>
      <c r="F13" s="58">
        <f>SUM(F14)</f>
        <v>1809</v>
      </c>
      <c r="G13" s="157">
        <f>SUM(G14)</f>
        <v>1343</v>
      </c>
      <c r="H13" s="28">
        <f t="shared" ref="H13:H20" si="1">(G13/E13)*100</f>
        <v>101.74242424242424</v>
      </c>
      <c r="I13" s="29">
        <f t="shared" ref="I13:I21" si="2">(G13/F13)*100</f>
        <v>74.239911553344385</v>
      </c>
    </row>
    <row r="14" spans="1:9" ht="15" customHeight="1">
      <c r="A14" s="235"/>
      <c r="B14" s="236"/>
      <c r="C14" s="239"/>
      <c r="D14" s="247"/>
      <c r="E14" s="241">
        <v>1320</v>
      </c>
      <c r="F14" s="242">
        <v>1809</v>
      </c>
      <c r="G14" s="241">
        <v>1343</v>
      </c>
      <c r="H14" s="33">
        <f t="shared" si="1"/>
        <v>101.74242424242424</v>
      </c>
      <c r="I14" s="34">
        <f t="shared" si="2"/>
        <v>74.239911553344385</v>
      </c>
    </row>
    <row r="15" spans="1:9" ht="15" customHeight="1">
      <c r="A15" s="235"/>
      <c r="B15" s="236"/>
      <c r="C15" s="239"/>
      <c r="D15" s="248"/>
      <c r="E15" s="244"/>
      <c r="F15" s="245"/>
      <c r="G15" s="246"/>
      <c r="H15" s="33"/>
      <c r="I15" s="34"/>
    </row>
    <row r="16" spans="1:9" ht="15" customHeight="1">
      <c r="A16" s="235"/>
      <c r="B16" s="236"/>
      <c r="C16" s="240" t="s">
        <v>292</v>
      </c>
      <c r="D16" s="249" t="s">
        <v>291</v>
      </c>
      <c r="E16" s="157">
        <f>SUM(E17)</f>
        <v>200</v>
      </c>
      <c r="F16" s="250">
        <f>SUM(F17)</f>
        <v>200</v>
      </c>
      <c r="G16" s="157">
        <f>SUM(G17)</f>
        <v>0</v>
      </c>
      <c r="H16" s="28">
        <f t="shared" si="1"/>
        <v>0</v>
      </c>
      <c r="I16" s="29">
        <f t="shared" si="2"/>
        <v>0</v>
      </c>
    </row>
    <row r="17" spans="1:9" ht="15" customHeight="1">
      <c r="A17" s="235"/>
      <c r="B17" s="236"/>
      <c r="C17" s="239"/>
      <c r="D17" s="247"/>
      <c r="E17" s="241">
        <v>200</v>
      </c>
      <c r="F17" s="242">
        <v>200</v>
      </c>
      <c r="G17" s="241">
        <v>0</v>
      </c>
      <c r="H17" s="33">
        <f t="shared" si="1"/>
        <v>0</v>
      </c>
      <c r="I17" s="34">
        <f t="shared" si="2"/>
        <v>0</v>
      </c>
    </row>
    <row r="18" spans="1:9" ht="15" customHeight="1">
      <c r="A18" s="235"/>
      <c r="B18" s="236"/>
      <c r="C18" s="239"/>
      <c r="D18" s="247"/>
      <c r="E18" s="241"/>
      <c r="F18" s="242"/>
      <c r="G18" s="241"/>
      <c r="H18" s="33"/>
      <c r="I18" s="34"/>
    </row>
    <row r="19" spans="1:9" ht="15" customHeight="1">
      <c r="A19" s="235"/>
      <c r="B19" s="236"/>
      <c r="C19" s="239"/>
      <c r="D19" s="238" t="s">
        <v>148</v>
      </c>
      <c r="E19" s="157">
        <f>SUM(E20)</f>
        <v>45</v>
      </c>
      <c r="F19" s="58">
        <v>9</v>
      </c>
      <c r="G19" s="157">
        <f>G20</f>
        <v>9</v>
      </c>
      <c r="H19" s="28">
        <f t="shared" si="1"/>
        <v>20</v>
      </c>
      <c r="I19" s="29">
        <f t="shared" si="2"/>
        <v>100</v>
      </c>
    </row>
    <row r="20" spans="1:9" ht="15" customHeight="1" thickBot="1">
      <c r="A20" s="235"/>
      <c r="B20" s="236"/>
      <c r="C20" s="239" t="s">
        <v>276</v>
      </c>
      <c r="D20" s="238" t="s">
        <v>277</v>
      </c>
      <c r="E20" s="241">
        <v>45</v>
      </c>
      <c r="F20" s="242">
        <v>9</v>
      </c>
      <c r="G20" s="251">
        <v>9</v>
      </c>
      <c r="H20" s="33">
        <f t="shared" si="1"/>
        <v>20</v>
      </c>
      <c r="I20" s="34">
        <f t="shared" si="2"/>
        <v>100</v>
      </c>
    </row>
    <row r="21" spans="1:9" ht="16.5" thickBot="1">
      <c r="A21" s="971" t="s">
        <v>16</v>
      </c>
      <c r="B21" s="972"/>
      <c r="C21" s="973"/>
      <c r="D21" s="212"/>
      <c r="E21" s="738">
        <f>E8</f>
        <v>2875</v>
      </c>
      <c r="F21" s="739">
        <f>F8</f>
        <v>3108.3</v>
      </c>
      <c r="G21" s="753">
        <f>G8</f>
        <v>2439</v>
      </c>
      <c r="H21" s="471">
        <f>(G21/E21)*100</f>
        <v>84.834782608695647</v>
      </c>
      <c r="I21" s="472">
        <f t="shared" si="2"/>
        <v>78.467329408358268</v>
      </c>
    </row>
    <row r="22" spans="1:9" ht="15.75" thickBot="1"/>
    <row r="23" spans="1:9">
      <c r="A23" s="7" t="s">
        <v>1</v>
      </c>
      <c r="B23" s="8" t="s">
        <v>2</v>
      </c>
      <c r="C23" s="45" t="s">
        <v>3</v>
      </c>
      <c r="D23" s="9"/>
      <c r="E23" s="8" t="s">
        <v>4</v>
      </c>
      <c r="F23" s="8" t="s">
        <v>312</v>
      </c>
      <c r="G23" s="8" t="s">
        <v>314</v>
      </c>
      <c r="H23" s="8" t="s">
        <v>316</v>
      </c>
      <c r="I23" s="10" t="s">
        <v>316</v>
      </c>
    </row>
    <row r="24" spans="1:9">
      <c r="A24" s="11" t="s">
        <v>5</v>
      </c>
      <c r="B24" s="12" t="s">
        <v>6</v>
      </c>
      <c r="C24" s="46" t="s">
        <v>7</v>
      </c>
      <c r="D24" s="13" t="s">
        <v>8</v>
      </c>
      <c r="E24" s="12" t="s">
        <v>231</v>
      </c>
      <c r="F24" s="12" t="s">
        <v>319</v>
      </c>
      <c r="G24" s="12" t="s">
        <v>315</v>
      </c>
      <c r="H24" s="12" t="s">
        <v>317</v>
      </c>
      <c r="I24" s="14" t="s">
        <v>318</v>
      </c>
    </row>
    <row r="25" spans="1:9" ht="15.75" thickBot="1">
      <c r="A25" s="47" t="s">
        <v>9</v>
      </c>
      <c r="B25" s="15" t="s">
        <v>10</v>
      </c>
      <c r="C25" s="48"/>
      <c r="D25" s="49"/>
      <c r="E25" s="15" t="s">
        <v>408</v>
      </c>
      <c r="F25" s="16">
        <v>46022</v>
      </c>
      <c r="G25" s="16">
        <v>46022</v>
      </c>
      <c r="H25" s="16" t="s">
        <v>211</v>
      </c>
      <c r="I25" s="17" t="s">
        <v>211</v>
      </c>
    </row>
    <row r="26" spans="1:9" ht="15.75">
      <c r="A26" s="18" t="s">
        <v>320</v>
      </c>
      <c r="B26" s="91"/>
      <c r="C26" s="19"/>
      <c r="D26" s="20"/>
      <c r="E26" s="92"/>
      <c r="F26" s="514"/>
      <c r="G26" s="92"/>
      <c r="H26" s="91"/>
      <c r="I26" s="515"/>
    </row>
    <row r="27" spans="1:9">
      <c r="A27" s="56" t="s">
        <v>264</v>
      </c>
      <c r="B27" s="956" t="s">
        <v>355</v>
      </c>
      <c r="C27" s="943"/>
      <c r="D27" s="943"/>
      <c r="E27" s="57">
        <f>SUM(E30:E30)</f>
        <v>0</v>
      </c>
      <c r="F27" s="58">
        <f>SUM(F28:F30)</f>
        <v>913.3</v>
      </c>
      <c r="G27" s="58">
        <f>SUM(G28:G30)</f>
        <v>913</v>
      </c>
      <c r="H27" s="754" t="s">
        <v>280</v>
      </c>
      <c r="I27" s="29">
        <f>(G27/F27)*100</f>
        <v>99.967152085842557</v>
      </c>
    </row>
    <row r="28" spans="1:9">
      <c r="A28" s="801" t="s">
        <v>264</v>
      </c>
      <c r="B28" s="389" t="s">
        <v>769</v>
      </c>
      <c r="C28" s="799" t="s">
        <v>794</v>
      </c>
      <c r="D28" s="238" t="s">
        <v>143</v>
      </c>
      <c r="E28" s="60">
        <v>0</v>
      </c>
      <c r="F28" s="61">
        <v>171</v>
      </c>
      <c r="G28" s="293">
        <v>171</v>
      </c>
      <c r="H28" s="755" t="s">
        <v>280</v>
      </c>
      <c r="I28" s="42">
        <f t="shared" ref="I28:I30" si="3">(G28/F28)*100</f>
        <v>100</v>
      </c>
    </row>
    <row r="29" spans="1:9">
      <c r="A29" s="801" t="s">
        <v>264</v>
      </c>
      <c r="B29" s="389" t="s">
        <v>792</v>
      </c>
      <c r="C29" s="799" t="s">
        <v>795</v>
      </c>
      <c r="D29" s="238" t="s">
        <v>143</v>
      </c>
      <c r="E29" s="293">
        <v>0</v>
      </c>
      <c r="F29" s="533">
        <v>84.7</v>
      </c>
      <c r="G29" s="293">
        <v>85</v>
      </c>
      <c r="H29" s="755" t="s">
        <v>280</v>
      </c>
      <c r="I29" s="42">
        <f t="shared" si="3"/>
        <v>100.35419126328217</v>
      </c>
    </row>
    <row r="30" spans="1:9" ht="15.75" thickBot="1">
      <c r="A30" s="798" t="s">
        <v>264</v>
      </c>
      <c r="B30" s="807" t="s">
        <v>793</v>
      </c>
      <c r="C30" s="800" t="s">
        <v>447</v>
      </c>
      <c r="D30" s="252" t="s">
        <v>356</v>
      </c>
      <c r="E30" s="756">
        <v>0</v>
      </c>
      <c r="F30" s="242">
        <v>657.6</v>
      </c>
      <c r="G30" s="756">
        <v>657</v>
      </c>
      <c r="H30" s="755" t="s">
        <v>280</v>
      </c>
      <c r="I30" s="42">
        <f t="shared" si="3"/>
        <v>99.908759124087581</v>
      </c>
    </row>
    <row r="31" spans="1:9" ht="16.5" thickBot="1">
      <c r="A31" s="65" t="s">
        <v>322</v>
      </c>
      <c r="B31" s="482"/>
      <c r="C31" s="66"/>
      <c r="D31" s="66"/>
      <c r="E31" s="483">
        <f>E27</f>
        <v>0</v>
      </c>
      <c r="F31" s="484">
        <f>F27</f>
        <v>913.3</v>
      </c>
      <c r="G31" s="483">
        <f>G27</f>
        <v>913</v>
      </c>
      <c r="H31" s="757" t="s">
        <v>280</v>
      </c>
      <c r="I31" s="67">
        <f>G31/F31*100</f>
        <v>99.967152085842557</v>
      </c>
    </row>
    <row r="32" spans="1:9" ht="16.5" thickBot="1">
      <c r="A32" s="802"/>
      <c r="B32" s="803"/>
      <c r="C32" s="803"/>
      <c r="D32" s="803"/>
      <c r="E32" s="803"/>
      <c r="F32" s="804"/>
      <c r="G32" s="803"/>
      <c r="H32" s="805"/>
      <c r="I32" s="806"/>
    </row>
    <row r="33" spans="1:9" ht="16.5" thickBot="1">
      <c r="A33" s="105" t="s">
        <v>357</v>
      </c>
      <c r="B33" s="106"/>
      <c r="C33" s="107"/>
      <c r="D33" s="108"/>
      <c r="E33" s="535">
        <f>E21+E29</f>
        <v>2875</v>
      </c>
      <c r="F33" s="536">
        <f>F21+F31</f>
        <v>4021.6000000000004</v>
      </c>
      <c r="G33" s="535">
        <f>G21+G31</f>
        <v>3352</v>
      </c>
      <c r="H33" s="537">
        <f>(G33/E33)*100</f>
        <v>116.5913043478261</v>
      </c>
      <c r="I33" s="539">
        <f>(G33/F33)*100</f>
        <v>83.349910483389692</v>
      </c>
    </row>
  </sheetData>
  <mergeCells count="3">
    <mergeCell ref="B8:C8"/>
    <mergeCell ref="A21:C21"/>
    <mergeCell ref="B27:D27"/>
  </mergeCells>
  <printOptions horizontalCentered="1"/>
  <pageMargins left="0.51181102362204722" right="0" top="0.19685039370078741" bottom="0" header="0" footer="0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94DD-65A1-44C0-910C-45EB8D94B87A}">
  <dimension ref="A1:M91"/>
  <sheetViews>
    <sheetView zoomScaleNormal="100" workbookViewId="0">
      <selection activeCell="P85" sqref="P85"/>
    </sheetView>
  </sheetViews>
  <sheetFormatPr defaultRowHeight="15"/>
  <cols>
    <col min="1" max="1" width="8.140625" customWidth="1"/>
    <col min="2" max="2" width="14.85546875" customWidth="1"/>
    <col min="3" max="3" width="49.7109375" customWidth="1"/>
    <col min="4" max="4" width="33.5703125" customWidth="1"/>
    <col min="5" max="5" width="13.7109375" customWidth="1"/>
    <col min="6" max="6" width="14.7109375" customWidth="1"/>
    <col min="7" max="7" width="12" customWidth="1"/>
    <col min="10" max="10" width="6" customWidth="1"/>
    <col min="11" max="11" width="13.28515625" customWidth="1"/>
    <col min="13" max="13" width="18" style="151" customWidth="1"/>
  </cols>
  <sheetData>
    <row r="1" spans="1:11" ht="15.75">
      <c r="A1" s="1001" t="s">
        <v>150</v>
      </c>
      <c r="B1" s="1001"/>
      <c r="C1" s="1001"/>
      <c r="D1" s="1001"/>
    </row>
    <row r="2" spans="1:11" ht="16.5" thickBot="1">
      <c r="A2" s="3"/>
      <c r="B2" s="3"/>
      <c r="C2" s="3"/>
      <c r="D2" s="3"/>
      <c r="G2" s="6"/>
      <c r="I2" s="6" t="s">
        <v>804</v>
      </c>
    </row>
    <row r="3" spans="1:11">
      <c r="A3" s="71" t="s">
        <v>1</v>
      </c>
      <c r="B3" s="8" t="s">
        <v>2</v>
      </c>
      <c r="C3" s="72" t="s">
        <v>3</v>
      </c>
      <c r="D3" s="9"/>
      <c r="E3" s="8" t="s">
        <v>4</v>
      </c>
      <c r="F3" s="8" t="s">
        <v>312</v>
      </c>
      <c r="G3" s="111" t="s">
        <v>314</v>
      </c>
      <c r="H3" s="253" t="s">
        <v>316</v>
      </c>
      <c r="I3" s="254" t="s">
        <v>316</v>
      </c>
    </row>
    <row r="4" spans="1:11">
      <c r="A4" s="74" t="s">
        <v>5</v>
      </c>
      <c r="B4" s="12" t="s">
        <v>6</v>
      </c>
      <c r="C4" s="75" t="s">
        <v>7</v>
      </c>
      <c r="D4" s="13" t="s">
        <v>8</v>
      </c>
      <c r="E4" s="12" t="s">
        <v>231</v>
      </c>
      <c r="F4" s="12" t="s">
        <v>319</v>
      </c>
      <c r="G4" s="112" t="s">
        <v>315</v>
      </c>
      <c r="H4" s="255" t="s">
        <v>317</v>
      </c>
      <c r="I4" s="256" t="s">
        <v>318</v>
      </c>
    </row>
    <row r="5" spans="1:11" ht="15.75" thickBot="1">
      <c r="A5" s="77" t="s">
        <v>9</v>
      </c>
      <c r="B5" s="15" t="s">
        <v>10</v>
      </c>
      <c r="C5" s="78"/>
      <c r="D5" s="49"/>
      <c r="E5" s="15" t="s">
        <v>408</v>
      </c>
      <c r="F5" s="16">
        <v>46022</v>
      </c>
      <c r="G5" s="16">
        <f>F5</f>
        <v>46022</v>
      </c>
      <c r="H5" s="257" t="s">
        <v>211</v>
      </c>
      <c r="I5" s="258" t="s">
        <v>211</v>
      </c>
    </row>
    <row r="6" spans="1:11" ht="15.75">
      <c r="A6" s="259" t="s">
        <v>11</v>
      </c>
      <c r="B6" s="92"/>
      <c r="C6" s="260"/>
      <c r="D6" s="261"/>
      <c r="E6" s="22"/>
      <c r="F6" s="22"/>
      <c r="G6" s="262"/>
      <c r="H6" s="263"/>
      <c r="I6" s="185"/>
    </row>
    <row r="7" spans="1:11" ht="15.75">
      <c r="A7" s="264" t="s">
        <v>151</v>
      </c>
      <c r="B7" s="265" t="s">
        <v>201</v>
      </c>
      <c r="C7" s="158"/>
      <c r="D7" s="266"/>
      <c r="E7" s="267">
        <f>SUM(E8:E11)</f>
        <v>9215</v>
      </c>
      <c r="F7" s="268">
        <f>SUM(F8:F11)</f>
        <v>12891.1</v>
      </c>
      <c r="G7" s="267">
        <f>SUM(G8:G11)</f>
        <v>7866</v>
      </c>
      <c r="H7" s="28">
        <f>(G7/E7)*100</f>
        <v>85.360824742268036</v>
      </c>
      <c r="I7" s="29">
        <f>(G7/F7)*100</f>
        <v>61.018842457199149</v>
      </c>
      <c r="K7" s="855"/>
    </row>
    <row r="8" spans="1:11">
      <c r="A8" s="269"/>
      <c r="B8" s="270"/>
      <c r="C8" s="160" t="s">
        <v>23</v>
      </c>
      <c r="D8" s="271" t="s">
        <v>152</v>
      </c>
      <c r="E8" s="272">
        <v>5675</v>
      </c>
      <c r="F8" s="273">
        <v>9398.1</v>
      </c>
      <c r="G8" s="38">
        <v>4488</v>
      </c>
      <c r="H8" s="33">
        <f t="shared" ref="H8:H14" si="0">(G8/E8)*100</f>
        <v>79.083700440528631</v>
      </c>
      <c r="I8" s="34">
        <f t="shared" ref="I8:I13" si="1">(G8/F8)*100</f>
        <v>47.754333322692879</v>
      </c>
      <c r="K8" s="274"/>
    </row>
    <row r="9" spans="1:11" ht="27.75" customHeight="1">
      <c r="A9" s="275"/>
      <c r="B9" s="276"/>
      <c r="C9" s="277" t="s">
        <v>282</v>
      </c>
      <c r="D9" s="271" t="s">
        <v>152</v>
      </c>
      <c r="E9" s="278">
        <v>3340</v>
      </c>
      <c r="F9" s="279">
        <v>3340</v>
      </c>
      <c r="G9" s="38">
        <v>3340</v>
      </c>
      <c r="H9" s="33">
        <f t="shared" si="0"/>
        <v>100</v>
      </c>
      <c r="I9" s="34">
        <f t="shared" si="1"/>
        <v>100</v>
      </c>
    </row>
    <row r="10" spans="1:11" ht="27.75" customHeight="1">
      <c r="A10" s="275"/>
      <c r="B10" s="276"/>
      <c r="C10" s="277" t="s">
        <v>303</v>
      </c>
      <c r="D10" s="271" t="s">
        <v>152</v>
      </c>
      <c r="E10" s="278">
        <v>20</v>
      </c>
      <c r="F10" s="279">
        <v>20</v>
      </c>
      <c r="G10" s="38">
        <v>0</v>
      </c>
      <c r="H10" s="33">
        <f t="shared" si="0"/>
        <v>0</v>
      </c>
      <c r="I10" s="34">
        <f t="shared" si="1"/>
        <v>0</v>
      </c>
    </row>
    <row r="11" spans="1:11" ht="27" customHeight="1">
      <c r="A11" s="269"/>
      <c r="B11" s="270"/>
      <c r="C11" s="280" t="s">
        <v>311</v>
      </c>
      <c r="D11" s="160" t="s">
        <v>152</v>
      </c>
      <c r="E11" s="278">
        <v>180</v>
      </c>
      <c r="F11" s="279">
        <v>133</v>
      </c>
      <c r="G11" s="31">
        <v>38</v>
      </c>
      <c r="H11" s="33">
        <f t="shared" si="0"/>
        <v>21.111111111111111</v>
      </c>
      <c r="I11" s="34">
        <f t="shared" si="1"/>
        <v>28.571428571428569</v>
      </c>
    </row>
    <row r="12" spans="1:11">
      <c r="A12" s="281"/>
      <c r="B12" s="282"/>
      <c r="C12" s="283"/>
      <c r="D12" s="161"/>
      <c r="E12" s="758"/>
      <c r="F12" s="759"/>
      <c r="G12" s="760"/>
      <c r="H12" s="295"/>
      <c r="I12" s="761"/>
    </row>
    <row r="13" spans="1:11">
      <c r="A13" s="163" t="s">
        <v>295</v>
      </c>
      <c r="B13" s="1002" t="s">
        <v>294</v>
      </c>
      <c r="C13" s="1003"/>
      <c r="D13" s="284"/>
      <c r="E13" s="762">
        <f>SUM(E14)</f>
        <v>650</v>
      </c>
      <c r="F13" s="763">
        <f>SUM(F14)</f>
        <v>1250</v>
      </c>
      <c r="G13" s="762">
        <f>SUM(G14)</f>
        <v>960</v>
      </c>
      <c r="H13" s="28">
        <f t="shared" si="0"/>
        <v>147.69230769230771</v>
      </c>
      <c r="I13" s="34">
        <f t="shared" si="1"/>
        <v>76.8</v>
      </c>
    </row>
    <row r="14" spans="1:11" ht="15.75" customHeight="1" thickBot="1">
      <c r="A14" s="285"/>
      <c r="B14" s="286"/>
      <c r="C14" s="165" t="s">
        <v>153</v>
      </c>
      <c r="D14" s="287" t="s">
        <v>154</v>
      </c>
      <c r="E14" s="764">
        <v>650</v>
      </c>
      <c r="F14" s="765">
        <v>1250</v>
      </c>
      <c r="G14" s="38">
        <v>960</v>
      </c>
      <c r="H14" s="33">
        <f t="shared" si="0"/>
        <v>147.69230769230771</v>
      </c>
      <c r="I14" s="766">
        <f>(G14/F14)*100</f>
        <v>76.8</v>
      </c>
    </row>
    <row r="15" spans="1:11" ht="16.5" thickBot="1">
      <c r="A15" s="953" t="s">
        <v>16</v>
      </c>
      <c r="B15" s="954"/>
      <c r="C15" s="955"/>
      <c r="D15" s="87"/>
      <c r="E15" s="767">
        <f>E13+E7</f>
        <v>9865</v>
      </c>
      <c r="F15" s="768">
        <f>F13+F7</f>
        <v>14141.1</v>
      </c>
      <c r="G15" s="767">
        <f>G13+G7</f>
        <v>8826</v>
      </c>
      <c r="H15" s="740">
        <f>(G15/E15)*100</f>
        <v>89.467815509376578</v>
      </c>
      <c r="I15" s="541">
        <f>(G15/F15)*100</f>
        <v>62.4138150497486</v>
      </c>
      <c r="K15" s="855"/>
    </row>
    <row r="16" spans="1:11" ht="16.5" thickBot="1">
      <c r="A16" s="89"/>
      <c r="B16" s="89"/>
      <c r="C16" s="89"/>
      <c r="D16" s="89"/>
      <c r="E16" s="379"/>
      <c r="F16" s="769"/>
      <c r="G16" s="770"/>
    </row>
    <row r="17" spans="1:13" s="288" customFormat="1" ht="12.75">
      <c r="A17" s="7" t="s">
        <v>1</v>
      </c>
      <c r="B17" s="8" t="s">
        <v>2</v>
      </c>
      <c r="C17" s="45" t="s">
        <v>3</v>
      </c>
      <c r="D17" s="9"/>
      <c r="E17" s="8" t="s">
        <v>4</v>
      </c>
      <c r="F17" s="8" t="s">
        <v>312</v>
      </c>
      <c r="G17" s="8" t="s">
        <v>314</v>
      </c>
      <c r="H17" s="8" t="s">
        <v>316</v>
      </c>
      <c r="I17" s="10" t="s">
        <v>316</v>
      </c>
      <c r="M17" s="289"/>
    </row>
    <row r="18" spans="1:13">
      <c r="A18" s="11" t="s">
        <v>5</v>
      </c>
      <c r="B18" s="12" t="s">
        <v>6</v>
      </c>
      <c r="C18" s="46" t="s">
        <v>7</v>
      </c>
      <c r="D18" s="13" t="s">
        <v>8</v>
      </c>
      <c r="E18" s="12" t="s">
        <v>231</v>
      </c>
      <c r="F18" s="12" t="s">
        <v>319</v>
      </c>
      <c r="G18" s="12" t="s">
        <v>315</v>
      </c>
      <c r="H18" s="12" t="s">
        <v>317</v>
      </c>
      <c r="I18" s="14" t="s">
        <v>318</v>
      </c>
      <c r="K18" s="288"/>
      <c r="L18" s="288"/>
      <c r="M18" s="289"/>
    </row>
    <row r="19" spans="1:13" ht="15.75" thickBot="1">
      <c r="A19" s="47" t="s">
        <v>9</v>
      </c>
      <c r="B19" s="15" t="s">
        <v>10</v>
      </c>
      <c r="C19" s="48"/>
      <c r="D19" s="49"/>
      <c r="E19" s="15" t="s">
        <v>408</v>
      </c>
      <c r="F19" s="16">
        <v>46022</v>
      </c>
      <c r="G19" s="16">
        <f>F19</f>
        <v>46022</v>
      </c>
      <c r="H19" s="16" t="s">
        <v>211</v>
      </c>
      <c r="I19" s="17" t="s">
        <v>211</v>
      </c>
      <c r="K19" s="288"/>
      <c r="L19" s="288"/>
      <c r="M19" s="289"/>
    </row>
    <row r="20" spans="1:13" ht="15.75" customHeight="1">
      <c r="A20" s="18" t="s">
        <v>320</v>
      </c>
      <c r="B20" s="91"/>
      <c r="C20" s="19"/>
      <c r="D20" s="20"/>
      <c r="E20" s="267">
        <f>SUM(E22:E34)+SUM(E40:E70)+SUM(E76:E80)</f>
        <v>67240</v>
      </c>
      <c r="F20" s="268">
        <f>SUM(F22:F34)+SUM(F40:F70)+SUM(F76:F80)</f>
        <v>287031.3</v>
      </c>
      <c r="G20" s="267">
        <f>SUM(G22:G34)+SUM(G40:G70)+SUM(G76:G80)</f>
        <v>137848</v>
      </c>
      <c r="H20" s="28">
        <f>(G20/E20)*100</f>
        <v>205.00892325996429</v>
      </c>
      <c r="I20" s="29">
        <f>(G20/F20)*100</f>
        <v>48.025424404934235</v>
      </c>
      <c r="K20" s="288"/>
      <c r="L20" s="288"/>
      <c r="M20" s="289"/>
    </row>
    <row r="21" spans="1:13">
      <c r="A21" s="411" t="s">
        <v>151</v>
      </c>
      <c r="B21" s="956" t="s">
        <v>201</v>
      </c>
      <c r="C21" s="956"/>
      <c r="D21" s="956"/>
      <c r="E21" s="57"/>
      <c r="F21" s="58"/>
      <c r="G21" s="57"/>
      <c r="H21" s="28"/>
      <c r="I21" s="29"/>
      <c r="K21" s="288"/>
      <c r="L21" s="288"/>
      <c r="M21" s="289"/>
    </row>
    <row r="22" spans="1:13">
      <c r="A22" s="290" t="s">
        <v>151</v>
      </c>
      <c r="B22" s="291" t="s">
        <v>776</v>
      </c>
      <c r="C22" s="371" t="s">
        <v>455</v>
      </c>
      <c r="D22" s="160" t="s">
        <v>887</v>
      </c>
      <c r="E22" s="99">
        <v>0</v>
      </c>
      <c r="F22" s="100">
        <v>500</v>
      </c>
      <c r="G22" s="99">
        <v>0</v>
      </c>
      <c r="H22" s="202" t="s">
        <v>280</v>
      </c>
      <c r="I22" s="34">
        <f t="shared" ref="I22:I46" si="2">(G22/F22)*100</f>
        <v>0</v>
      </c>
      <c r="K22" s="288"/>
      <c r="L22" s="288"/>
      <c r="M22" s="289"/>
    </row>
    <row r="23" spans="1:13">
      <c r="A23" s="290" t="s">
        <v>151</v>
      </c>
      <c r="B23" s="291" t="s">
        <v>358</v>
      </c>
      <c r="C23" s="292" t="s">
        <v>459</v>
      </c>
      <c r="D23" s="160" t="s">
        <v>887</v>
      </c>
      <c r="E23" s="99">
        <v>6000</v>
      </c>
      <c r="F23" s="100">
        <v>5720</v>
      </c>
      <c r="G23" s="99">
        <v>5716</v>
      </c>
      <c r="H23" s="33">
        <f t="shared" ref="H23:H25" si="3">(G23/E23)*100</f>
        <v>95.266666666666666</v>
      </c>
      <c r="I23" s="34">
        <f t="shared" si="2"/>
        <v>99.930069930069934</v>
      </c>
      <c r="K23" s="288"/>
      <c r="L23" s="288"/>
      <c r="M23" s="289"/>
    </row>
    <row r="24" spans="1:13">
      <c r="A24" s="412" t="s">
        <v>151</v>
      </c>
      <c r="B24" s="291" t="s">
        <v>461</v>
      </c>
      <c r="C24" s="413" t="s">
        <v>474</v>
      </c>
      <c r="D24" s="160" t="s">
        <v>887</v>
      </c>
      <c r="E24" s="99">
        <v>240</v>
      </c>
      <c r="F24" s="100">
        <v>219.6</v>
      </c>
      <c r="G24" s="38">
        <v>220</v>
      </c>
      <c r="H24" s="33">
        <f t="shared" si="3"/>
        <v>91.666666666666657</v>
      </c>
      <c r="I24" s="34">
        <f t="shared" si="2"/>
        <v>100.18214936247722</v>
      </c>
      <c r="K24" s="288"/>
      <c r="L24" s="288"/>
      <c r="M24" s="289"/>
    </row>
    <row r="25" spans="1:13">
      <c r="A25" s="290" t="s">
        <v>151</v>
      </c>
      <c r="B25" s="291" t="s">
        <v>863</v>
      </c>
      <c r="C25" s="292" t="s">
        <v>455</v>
      </c>
      <c r="D25" s="160" t="s">
        <v>887</v>
      </c>
      <c r="E25" s="99">
        <v>6000</v>
      </c>
      <c r="F25" s="100">
        <v>2757.9</v>
      </c>
      <c r="G25" s="38">
        <v>2758</v>
      </c>
      <c r="H25" s="33">
        <f t="shared" si="3"/>
        <v>45.966666666666669</v>
      </c>
      <c r="I25" s="34">
        <f t="shared" si="2"/>
        <v>100.00362594727872</v>
      </c>
      <c r="K25" s="288"/>
      <c r="L25" s="288"/>
      <c r="M25" s="289"/>
    </row>
    <row r="26" spans="1:13">
      <c r="A26" s="290" t="s">
        <v>151</v>
      </c>
      <c r="B26" s="291" t="s">
        <v>864</v>
      </c>
      <c r="C26" s="292" t="s">
        <v>455</v>
      </c>
      <c r="D26" s="160" t="s">
        <v>887</v>
      </c>
      <c r="E26" s="99">
        <v>0</v>
      </c>
      <c r="F26" s="100">
        <v>10500</v>
      </c>
      <c r="G26" s="31">
        <v>3733</v>
      </c>
      <c r="H26" s="202" t="s">
        <v>280</v>
      </c>
      <c r="I26" s="34">
        <f t="shared" ref="I26" si="4">(G26/F26)*100</f>
        <v>35.55238095238095</v>
      </c>
      <c r="K26" s="288"/>
      <c r="L26" s="288"/>
      <c r="M26" s="289"/>
    </row>
    <row r="27" spans="1:13">
      <c r="A27" s="290" t="s">
        <v>151</v>
      </c>
      <c r="B27" s="291" t="s">
        <v>865</v>
      </c>
      <c r="C27" s="292" t="s">
        <v>458</v>
      </c>
      <c r="D27" s="160" t="s">
        <v>887</v>
      </c>
      <c r="E27" s="99">
        <v>0</v>
      </c>
      <c r="F27" s="100">
        <v>13.9</v>
      </c>
      <c r="G27" s="99">
        <v>0</v>
      </c>
      <c r="H27" s="202" t="s">
        <v>280</v>
      </c>
      <c r="I27" s="34">
        <f t="shared" si="2"/>
        <v>0</v>
      </c>
      <c r="K27" s="288"/>
      <c r="L27" s="288"/>
      <c r="M27" s="289"/>
    </row>
    <row r="28" spans="1:13" ht="15.75" customHeight="1">
      <c r="A28" s="290" t="s">
        <v>151</v>
      </c>
      <c r="B28" s="291" t="s">
        <v>866</v>
      </c>
      <c r="C28" s="414" t="s">
        <v>548</v>
      </c>
      <c r="D28" s="160" t="s">
        <v>887</v>
      </c>
      <c r="E28" s="99">
        <v>0</v>
      </c>
      <c r="F28" s="100">
        <v>900</v>
      </c>
      <c r="G28" s="99">
        <v>900</v>
      </c>
      <c r="H28" s="202" t="s">
        <v>280</v>
      </c>
      <c r="I28" s="34">
        <f t="shared" si="2"/>
        <v>100</v>
      </c>
      <c r="K28" s="288"/>
      <c r="L28" s="288"/>
      <c r="M28" s="289"/>
    </row>
    <row r="29" spans="1:13">
      <c r="A29" s="290" t="s">
        <v>151</v>
      </c>
      <c r="B29" s="291" t="s">
        <v>867</v>
      </c>
      <c r="C29" s="415" t="s">
        <v>456</v>
      </c>
      <c r="D29" s="160" t="s">
        <v>887</v>
      </c>
      <c r="E29" s="99">
        <v>0</v>
      </c>
      <c r="F29" s="100">
        <v>6.7</v>
      </c>
      <c r="G29" s="31">
        <v>0</v>
      </c>
      <c r="H29" s="202" t="s">
        <v>280</v>
      </c>
      <c r="I29" s="34">
        <f t="shared" si="2"/>
        <v>0</v>
      </c>
      <c r="K29" s="288"/>
      <c r="L29" s="288"/>
      <c r="M29" s="289"/>
    </row>
    <row r="30" spans="1:13">
      <c r="A30" s="290" t="s">
        <v>151</v>
      </c>
      <c r="B30" s="291" t="s">
        <v>868</v>
      </c>
      <c r="C30" s="413" t="s">
        <v>606</v>
      </c>
      <c r="D30" s="160" t="s">
        <v>887</v>
      </c>
      <c r="E30" s="99">
        <v>6000</v>
      </c>
      <c r="F30" s="100">
        <v>4000</v>
      </c>
      <c r="G30" s="38">
        <v>3397</v>
      </c>
      <c r="H30" s="33">
        <f t="shared" ref="H30" si="5">(G30/E30)*100</f>
        <v>56.616666666666674</v>
      </c>
      <c r="I30" s="34">
        <f t="shared" si="2"/>
        <v>84.924999999999997</v>
      </c>
      <c r="K30" s="288"/>
      <c r="L30" s="288"/>
      <c r="M30" s="289"/>
    </row>
    <row r="31" spans="1:13">
      <c r="A31" s="290" t="s">
        <v>151</v>
      </c>
      <c r="B31" s="291" t="s">
        <v>545</v>
      </c>
      <c r="C31" s="413" t="s">
        <v>546</v>
      </c>
      <c r="D31" s="160" t="s">
        <v>388</v>
      </c>
      <c r="E31" s="99">
        <v>0</v>
      </c>
      <c r="F31" s="100">
        <v>290.39999999999998</v>
      </c>
      <c r="G31" s="31">
        <v>268</v>
      </c>
      <c r="H31" s="202" t="s">
        <v>280</v>
      </c>
      <c r="I31" s="42">
        <f t="shared" si="2"/>
        <v>92.286501377410474</v>
      </c>
      <c r="K31" s="288"/>
      <c r="L31" s="288"/>
      <c r="M31" s="289"/>
    </row>
    <row r="32" spans="1:13" ht="29.25" customHeight="1">
      <c r="A32" s="290" t="s">
        <v>151</v>
      </c>
      <c r="B32" s="291" t="s">
        <v>481</v>
      </c>
      <c r="C32" s="413" t="s">
        <v>468</v>
      </c>
      <c r="D32" s="160" t="s">
        <v>388</v>
      </c>
      <c r="E32" s="99">
        <v>0</v>
      </c>
      <c r="F32" s="100">
        <f>E32+22000</f>
        <v>22000</v>
      </c>
      <c r="G32" s="38">
        <v>0</v>
      </c>
      <c r="H32" s="202" t="s">
        <v>280</v>
      </c>
      <c r="I32" s="34">
        <f t="shared" si="2"/>
        <v>0</v>
      </c>
      <c r="K32" s="288"/>
      <c r="L32" s="288"/>
      <c r="M32" s="289"/>
    </row>
    <row r="33" spans="1:13" ht="25.5">
      <c r="A33" s="290" t="s">
        <v>151</v>
      </c>
      <c r="B33" s="291" t="s">
        <v>874</v>
      </c>
      <c r="C33" s="413" t="s">
        <v>469</v>
      </c>
      <c r="D33" s="160" t="s">
        <v>388</v>
      </c>
      <c r="E33" s="99">
        <v>0</v>
      </c>
      <c r="F33" s="100">
        <v>25000</v>
      </c>
      <c r="G33" s="293">
        <v>3460</v>
      </c>
      <c r="H33" s="202" t="s">
        <v>280</v>
      </c>
      <c r="I33" s="34">
        <f t="shared" si="2"/>
        <v>13.84</v>
      </c>
      <c r="K33" s="288"/>
      <c r="L33" s="288"/>
      <c r="M33" s="289"/>
    </row>
    <row r="34" spans="1:13" ht="15.75" thickBot="1">
      <c r="A34" s="416" t="s">
        <v>151</v>
      </c>
      <c r="B34" s="417" t="s">
        <v>858</v>
      </c>
      <c r="C34" s="418" t="s">
        <v>441</v>
      </c>
      <c r="D34" s="419" t="s">
        <v>388</v>
      </c>
      <c r="E34" s="367">
        <v>15000</v>
      </c>
      <c r="F34" s="368">
        <f>E34+14252</f>
        <v>29252</v>
      </c>
      <c r="G34" s="367">
        <v>925</v>
      </c>
      <c r="H34" s="294">
        <f t="shared" ref="H34:H42" si="6">(G34/E34)*100</f>
        <v>6.166666666666667</v>
      </c>
      <c r="I34" s="95">
        <f t="shared" si="2"/>
        <v>3.1621769451661423</v>
      </c>
      <c r="K34" s="288"/>
      <c r="L34" s="288"/>
      <c r="M34" s="289"/>
    </row>
    <row r="35" spans="1:13" ht="15.75" thickBot="1">
      <c r="A35" s="420"/>
      <c r="B35" s="421"/>
      <c r="C35" s="422"/>
      <c r="D35" s="161"/>
      <c r="E35" s="96"/>
      <c r="F35" s="97"/>
      <c r="G35" s="96"/>
      <c r="H35" s="295"/>
      <c r="I35" s="6" t="s">
        <v>805</v>
      </c>
      <c r="K35" s="288"/>
      <c r="L35" s="288"/>
      <c r="M35" s="289"/>
    </row>
    <row r="36" spans="1:13">
      <c r="A36" s="7" t="s">
        <v>1</v>
      </c>
      <c r="B36" s="8" t="s">
        <v>2</v>
      </c>
      <c r="C36" s="45" t="s">
        <v>3</v>
      </c>
      <c r="D36" s="9"/>
      <c r="E36" s="8" t="s">
        <v>4</v>
      </c>
      <c r="F36" s="8" t="s">
        <v>312</v>
      </c>
      <c r="G36" s="8" t="s">
        <v>314</v>
      </c>
      <c r="H36" s="8" t="s">
        <v>316</v>
      </c>
      <c r="I36" s="10" t="s">
        <v>316</v>
      </c>
      <c r="K36" s="288"/>
      <c r="L36" s="288"/>
      <c r="M36" s="289"/>
    </row>
    <row r="37" spans="1:13">
      <c r="A37" s="11" t="s">
        <v>5</v>
      </c>
      <c r="B37" s="12" t="s">
        <v>6</v>
      </c>
      <c r="C37" s="46" t="s">
        <v>7</v>
      </c>
      <c r="D37" s="13" t="s">
        <v>8</v>
      </c>
      <c r="E37" s="12" t="s">
        <v>231</v>
      </c>
      <c r="F37" s="12" t="s">
        <v>319</v>
      </c>
      <c r="G37" s="12" t="s">
        <v>315</v>
      </c>
      <c r="H37" s="12" t="s">
        <v>317</v>
      </c>
      <c r="I37" s="14" t="s">
        <v>318</v>
      </c>
      <c r="K37" s="288"/>
      <c r="L37" s="288"/>
      <c r="M37" s="289"/>
    </row>
    <row r="38" spans="1:13" ht="15.75" thickBot="1">
      <c r="A38" s="47" t="s">
        <v>9</v>
      </c>
      <c r="B38" s="15" t="s">
        <v>10</v>
      </c>
      <c r="C38" s="48"/>
      <c r="D38" s="49"/>
      <c r="E38" s="15" t="s">
        <v>408</v>
      </c>
      <c r="F38" s="16">
        <v>46022</v>
      </c>
      <c r="G38" s="16">
        <f>F38</f>
        <v>46022</v>
      </c>
      <c r="H38" s="16" t="s">
        <v>211</v>
      </c>
      <c r="I38" s="17" t="s">
        <v>211</v>
      </c>
      <c r="K38" s="288"/>
      <c r="L38" s="288"/>
      <c r="M38" s="289"/>
    </row>
    <row r="39" spans="1:13" ht="15.75">
      <c r="A39" s="998" t="s">
        <v>320</v>
      </c>
      <c r="B39" s="999"/>
      <c r="C39" s="1000"/>
      <c r="D39" s="791"/>
      <c r="E39" s="792"/>
      <c r="F39" s="793"/>
      <c r="G39" s="792"/>
      <c r="H39" s="794"/>
      <c r="I39" s="795"/>
      <c r="K39" s="288"/>
      <c r="L39" s="288"/>
      <c r="M39" s="289"/>
    </row>
    <row r="40" spans="1:13">
      <c r="A40" s="290" t="s">
        <v>151</v>
      </c>
      <c r="B40" s="291" t="s">
        <v>869</v>
      </c>
      <c r="C40" s="292" t="s">
        <v>457</v>
      </c>
      <c r="D40" s="160" t="s">
        <v>388</v>
      </c>
      <c r="E40" s="99">
        <v>10700</v>
      </c>
      <c r="F40" s="100">
        <v>11503.4</v>
      </c>
      <c r="G40" s="99">
        <v>98</v>
      </c>
      <c r="H40" s="33">
        <f t="shared" si="6"/>
        <v>0.91588785046728982</v>
      </c>
      <c r="I40" s="34">
        <f t="shared" ref="I40" si="7">(G40/F40)*100</f>
        <v>0.8519220404402178</v>
      </c>
      <c r="K40" s="288"/>
      <c r="L40" s="288"/>
      <c r="M40" s="289"/>
    </row>
    <row r="41" spans="1:13">
      <c r="A41" s="290" t="s">
        <v>151</v>
      </c>
      <c r="B41" s="291" t="s">
        <v>870</v>
      </c>
      <c r="C41" s="292" t="s">
        <v>626</v>
      </c>
      <c r="D41" s="160" t="s">
        <v>388</v>
      </c>
      <c r="E41" s="99">
        <v>0</v>
      </c>
      <c r="F41" s="100">
        <v>240</v>
      </c>
      <c r="G41" s="162">
        <v>239</v>
      </c>
      <c r="H41" s="202" t="s">
        <v>280</v>
      </c>
      <c r="I41" s="34">
        <f t="shared" si="2"/>
        <v>99.583333333333329</v>
      </c>
      <c r="K41" s="288"/>
      <c r="L41" s="288"/>
      <c r="M41" s="289"/>
    </row>
    <row r="42" spans="1:13" ht="19.5" customHeight="1">
      <c r="A42" s="290" t="s">
        <v>151</v>
      </c>
      <c r="B42" s="291" t="s">
        <v>871</v>
      </c>
      <c r="C42" s="413" t="s">
        <v>784</v>
      </c>
      <c r="D42" s="160" t="s">
        <v>388</v>
      </c>
      <c r="E42" s="99">
        <v>7000</v>
      </c>
      <c r="F42" s="100">
        <f t="shared" ref="F42" si="8">E42</f>
        <v>7000</v>
      </c>
      <c r="G42" s="38">
        <v>6897</v>
      </c>
      <c r="H42" s="33">
        <f t="shared" si="6"/>
        <v>98.528571428571439</v>
      </c>
      <c r="I42" s="34">
        <f t="shared" si="2"/>
        <v>98.528571428571439</v>
      </c>
      <c r="K42" s="288"/>
      <c r="L42" s="288"/>
      <c r="M42" s="289"/>
    </row>
    <row r="43" spans="1:13">
      <c r="A43" s="290" t="s">
        <v>151</v>
      </c>
      <c r="B43" s="291" t="s">
        <v>872</v>
      </c>
      <c r="C43" s="413" t="s">
        <v>470</v>
      </c>
      <c r="D43" s="160" t="s">
        <v>388</v>
      </c>
      <c r="E43" s="99">
        <v>0</v>
      </c>
      <c r="F43" s="100">
        <f>E43+2359.5</f>
        <v>2359.5</v>
      </c>
      <c r="G43" s="38">
        <v>2359</v>
      </c>
      <c r="H43" s="202" t="s">
        <v>280</v>
      </c>
      <c r="I43" s="34">
        <f t="shared" si="2"/>
        <v>99.978809069718153</v>
      </c>
      <c r="K43" s="288"/>
      <c r="L43" s="288"/>
      <c r="M43" s="289"/>
    </row>
    <row r="44" spans="1:13">
      <c r="A44" s="412" t="s">
        <v>151</v>
      </c>
      <c r="B44" s="291" t="s">
        <v>873</v>
      </c>
      <c r="C44" s="413" t="s">
        <v>544</v>
      </c>
      <c r="D44" s="160" t="s">
        <v>388</v>
      </c>
      <c r="E44" s="99">
        <v>1000</v>
      </c>
      <c r="F44" s="100">
        <v>7152.4</v>
      </c>
      <c r="G44" s="38">
        <v>7152</v>
      </c>
      <c r="H44" s="33">
        <f t="shared" ref="H44:H46" si="9">(G44/E44)*100</f>
        <v>715.2</v>
      </c>
      <c r="I44" s="34">
        <f t="shared" si="2"/>
        <v>99.994407471617919</v>
      </c>
      <c r="K44" s="288"/>
      <c r="L44" s="288"/>
      <c r="M44" s="289"/>
    </row>
    <row r="45" spans="1:13">
      <c r="A45" s="412" t="s">
        <v>151</v>
      </c>
      <c r="B45" s="291" t="s">
        <v>462</v>
      </c>
      <c r="C45" s="413" t="s">
        <v>475</v>
      </c>
      <c r="D45" s="160" t="s">
        <v>611</v>
      </c>
      <c r="E45" s="99">
        <v>6800</v>
      </c>
      <c r="F45" s="100">
        <v>0</v>
      </c>
      <c r="G45" s="38">
        <v>0</v>
      </c>
      <c r="H45" s="33">
        <f t="shared" si="9"/>
        <v>0</v>
      </c>
      <c r="I45" s="64" t="s">
        <v>280</v>
      </c>
      <c r="K45" s="288"/>
      <c r="L45" s="288"/>
      <c r="M45" s="289"/>
    </row>
    <row r="46" spans="1:13">
      <c r="A46" s="290" t="s">
        <v>151</v>
      </c>
      <c r="B46" s="291" t="s">
        <v>389</v>
      </c>
      <c r="C46" s="292" t="s">
        <v>607</v>
      </c>
      <c r="D46" s="160" t="s">
        <v>611</v>
      </c>
      <c r="E46" s="99">
        <v>1000</v>
      </c>
      <c r="F46" s="100">
        <v>110</v>
      </c>
      <c r="G46" s="60">
        <v>0</v>
      </c>
      <c r="H46" s="63">
        <f t="shared" si="9"/>
        <v>0</v>
      </c>
      <c r="I46" s="34">
        <f t="shared" si="2"/>
        <v>0</v>
      </c>
      <c r="K46" s="288"/>
      <c r="L46" s="288"/>
      <c r="M46" s="289"/>
    </row>
    <row r="47" spans="1:13" ht="19.5" customHeight="1">
      <c r="A47" s="412" t="s">
        <v>151</v>
      </c>
      <c r="B47" s="291" t="s">
        <v>463</v>
      </c>
      <c r="C47" s="413" t="s">
        <v>476</v>
      </c>
      <c r="D47" s="160" t="s">
        <v>611</v>
      </c>
      <c r="E47" s="99">
        <v>0</v>
      </c>
      <c r="F47" s="100">
        <v>11000</v>
      </c>
      <c r="G47" s="38">
        <v>10252</v>
      </c>
      <c r="H47" s="202" t="s">
        <v>280</v>
      </c>
      <c r="I47" s="34">
        <f>(G47/F47)*100</f>
        <v>93.2</v>
      </c>
      <c r="K47" s="288"/>
      <c r="L47" s="288"/>
      <c r="M47" s="289"/>
    </row>
    <row r="48" spans="1:13">
      <c r="A48" s="290" t="s">
        <v>151</v>
      </c>
      <c r="B48" s="291" t="s">
        <v>390</v>
      </c>
      <c r="C48" s="292" t="s">
        <v>608</v>
      </c>
      <c r="D48" s="160" t="s">
        <v>611</v>
      </c>
      <c r="E48" s="60">
        <v>1500</v>
      </c>
      <c r="F48" s="61">
        <v>112</v>
      </c>
      <c r="G48" s="60">
        <v>82</v>
      </c>
      <c r="H48" s="63">
        <f t="shared" ref="H48" si="10">(G48/E48)*100</f>
        <v>5.4666666666666668</v>
      </c>
      <c r="I48" s="34">
        <f t="shared" ref="I48:I49" si="11">(G48/F48)*100</f>
        <v>73.214285714285708</v>
      </c>
      <c r="K48" s="288"/>
      <c r="L48" s="288"/>
      <c r="M48" s="289"/>
    </row>
    <row r="49" spans="1:13">
      <c r="A49" s="423" t="s">
        <v>151</v>
      </c>
      <c r="B49" s="424" t="s">
        <v>464</v>
      </c>
      <c r="C49" s="425" t="s">
        <v>477</v>
      </c>
      <c r="D49" s="271" t="s">
        <v>611</v>
      </c>
      <c r="E49" s="99">
        <v>0</v>
      </c>
      <c r="F49" s="100">
        <v>7809.7</v>
      </c>
      <c r="G49" s="426">
        <v>393</v>
      </c>
      <c r="H49" s="202" t="s">
        <v>280</v>
      </c>
      <c r="I49" s="102">
        <f t="shared" si="11"/>
        <v>5.0322035417493627</v>
      </c>
      <c r="K49" s="288"/>
      <c r="L49" s="288"/>
      <c r="M49" s="289"/>
    </row>
    <row r="50" spans="1:13" ht="25.5">
      <c r="A50" s="290" t="s">
        <v>151</v>
      </c>
      <c r="B50" s="291" t="s">
        <v>391</v>
      </c>
      <c r="C50" s="413" t="s">
        <v>363</v>
      </c>
      <c r="D50" s="160" t="s">
        <v>611</v>
      </c>
      <c r="E50" s="99">
        <v>1000</v>
      </c>
      <c r="F50" s="100">
        <v>0</v>
      </c>
      <c r="G50" s="60">
        <v>0</v>
      </c>
      <c r="H50" s="33">
        <f t="shared" ref="H50" si="12">(G50/E50)*100</f>
        <v>0</v>
      </c>
      <c r="I50" s="64" t="s">
        <v>280</v>
      </c>
      <c r="K50" s="288"/>
      <c r="L50" s="288"/>
      <c r="M50" s="289"/>
    </row>
    <row r="51" spans="1:13">
      <c r="A51" s="412" t="s">
        <v>151</v>
      </c>
      <c r="B51" s="291" t="s">
        <v>465</v>
      </c>
      <c r="C51" s="413" t="s">
        <v>478</v>
      </c>
      <c r="D51" s="160" t="s">
        <v>611</v>
      </c>
      <c r="E51" s="99">
        <v>0</v>
      </c>
      <c r="F51" s="100">
        <f>E51+27000</f>
        <v>27000</v>
      </c>
      <c r="G51" s="38">
        <v>9782</v>
      </c>
      <c r="H51" s="202" t="s">
        <v>280</v>
      </c>
      <c r="I51" s="34">
        <f t="shared" ref="I51:I80" si="13">(G51/F51)*100</f>
        <v>36.229629629629628</v>
      </c>
      <c r="K51" s="288"/>
      <c r="L51" s="288"/>
      <c r="M51" s="289"/>
    </row>
    <row r="52" spans="1:13">
      <c r="A52" s="412" t="s">
        <v>151</v>
      </c>
      <c r="B52" s="291" t="s">
        <v>466</v>
      </c>
      <c r="C52" s="413" t="s">
        <v>479</v>
      </c>
      <c r="D52" s="160" t="s">
        <v>611</v>
      </c>
      <c r="E52" s="99">
        <v>0</v>
      </c>
      <c r="F52" s="100">
        <f>E52+10000</f>
        <v>10000</v>
      </c>
      <c r="G52" s="38">
        <v>157</v>
      </c>
      <c r="H52" s="202" t="s">
        <v>280</v>
      </c>
      <c r="I52" s="34">
        <f t="shared" si="13"/>
        <v>1.5699999999999998</v>
      </c>
      <c r="K52" s="288"/>
      <c r="L52" s="288"/>
      <c r="M52" s="289"/>
    </row>
    <row r="53" spans="1:13">
      <c r="A53" s="290" t="s">
        <v>151</v>
      </c>
      <c r="B53" s="291" t="s">
        <v>467</v>
      </c>
      <c r="C53" s="413" t="s">
        <v>480</v>
      </c>
      <c r="D53" s="160" t="s">
        <v>611</v>
      </c>
      <c r="E53" s="60">
        <v>0</v>
      </c>
      <c r="F53" s="61">
        <f>E53+10000</f>
        <v>10000</v>
      </c>
      <c r="G53" s="31">
        <v>0</v>
      </c>
      <c r="H53" s="202" t="s">
        <v>280</v>
      </c>
      <c r="I53" s="42">
        <f t="shared" si="13"/>
        <v>0</v>
      </c>
      <c r="K53" s="288"/>
      <c r="L53" s="288"/>
      <c r="M53" s="289"/>
    </row>
    <row r="54" spans="1:13">
      <c r="A54" s="290" t="s">
        <v>151</v>
      </c>
      <c r="B54" s="291" t="s">
        <v>361</v>
      </c>
      <c r="C54" s="292" t="s">
        <v>453</v>
      </c>
      <c r="D54" s="160" t="s">
        <v>611</v>
      </c>
      <c r="E54" s="99">
        <v>3000</v>
      </c>
      <c r="F54" s="100">
        <v>2000</v>
      </c>
      <c r="G54" s="38">
        <v>583</v>
      </c>
      <c r="H54" s="33">
        <f t="shared" ref="H54:H55" si="14">(G54/E54)*100</f>
        <v>19.433333333333334</v>
      </c>
      <c r="I54" s="42">
        <f t="shared" si="13"/>
        <v>29.15</v>
      </c>
      <c r="K54" s="288"/>
      <c r="L54" s="288"/>
      <c r="M54" s="289"/>
    </row>
    <row r="55" spans="1:13">
      <c r="A55" s="290" t="s">
        <v>151</v>
      </c>
      <c r="B55" s="291" t="s">
        <v>359</v>
      </c>
      <c r="C55" s="292" t="s">
        <v>360</v>
      </c>
      <c r="D55" s="160" t="s">
        <v>611</v>
      </c>
      <c r="E55" s="99">
        <v>2000</v>
      </c>
      <c r="F55" s="100">
        <v>1.8</v>
      </c>
      <c r="G55" s="38">
        <v>0</v>
      </c>
      <c r="H55" s="33">
        <f t="shared" si="14"/>
        <v>0</v>
      </c>
      <c r="I55" s="34">
        <f t="shared" si="13"/>
        <v>0</v>
      </c>
      <c r="K55" s="288"/>
      <c r="L55" s="288"/>
      <c r="M55" s="289"/>
    </row>
    <row r="56" spans="1:13">
      <c r="A56" s="290" t="s">
        <v>151</v>
      </c>
      <c r="B56" s="291" t="s">
        <v>627</v>
      </c>
      <c r="C56" s="292" t="s">
        <v>628</v>
      </c>
      <c r="D56" s="160" t="s">
        <v>611</v>
      </c>
      <c r="E56" s="99">
        <v>0</v>
      </c>
      <c r="F56" s="100">
        <v>1400</v>
      </c>
      <c r="G56" s="38">
        <v>1185</v>
      </c>
      <c r="H56" s="202" t="s">
        <v>280</v>
      </c>
      <c r="I56" s="34">
        <f t="shared" si="13"/>
        <v>84.642857142857139</v>
      </c>
      <c r="K56" s="288"/>
      <c r="L56" s="288"/>
      <c r="M56" s="289"/>
    </row>
    <row r="57" spans="1:13">
      <c r="A57" s="427" t="s">
        <v>151</v>
      </c>
      <c r="B57" s="291" t="s">
        <v>777</v>
      </c>
      <c r="C57" s="292" t="s">
        <v>798</v>
      </c>
      <c r="D57" s="160" t="s">
        <v>611</v>
      </c>
      <c r="E57" s="99">
        <v>0</v>
      </c>
      <c r="F57" s="100">
        <v>196</v>
      </c>
      <c r="G57" s="38">
        <v>196</v>
      </c>
      <c r="H57" s="202" t="s">
        <v>280</v>
      </c>
      <c r="I57" s="34">
        <f t="shared" si="13"/>
        <v>100</v>
      </c>
      <c r="K57" s="288"/>
      <c r="L57" s="288"/>
      <c r="M57" s="289"/>
    </row>
    <row r="58" spans="1:13">
      <c r="A58" s="427" t="s">
        <v>151</v>
      </c>
      <c r="B58" s="291" t="s">
        <v>778</v>
      </c>
      <c r="C58" s="292" t="s">
        <v>779</v>
      </c>
      <c r="D58" s="160" t="s">
        <v>611</v>
      </c>
      <c r="E58" s="99">
        <v>0</v>
      </c>
      <c r="F58" s="100">
        <v>476.5</v>
      </c>
      <c r="G58" s="38">
        <v>476</v>
      </c>
      <c r="H58" s="202" t="s">
        <v>280</v>
      </c>
      <c r="I58" s="34">
        <f t="shared" si="13"/>
        <v>99.89506820566632</v>
      </c>
      <c r="K58" s="288"/>
      <c r="L58" s="288"/>
      <c r="M58" s="289"/>
    </row>
    <row r="59" spans="1:13">
      <c r="A59" s="427" t="s">
        <v>151</v>
      </c>
      <c r="B59" s="291" t="s">
        <v>780</v>
      </c>
      <c r="C59" s="292" t="s">
        <v>799</v>
      </c>
      <c r="D59" s="160" t="s">
        <v>611</v>
      </c>
      <c r="E59" s="99">
        <v>0</v>
      </c>
      <c r="F59" s="100">
        <v>1890</v>
      </c>
      <c r="G59" s="38">
        <v>0</v>
      </c>
      <c r="H59" s="202" t="s">
        <v>280</v>
      </c>
      <c r="I59" s="34">
        <f t="shared" si="13"/>
        <v>0</v>
      </c>
      <c r="K59" s="288"/>
      <c r="L59" s="288"/>
      <c r="M59" s="289"/>
    </row>
    <row r="60" spans="1:13">
      <c r="A60" s="427" t="s">
        <v>151</v>
      </c>
      <c r="B60" s="291" t="s">
        <v>460</v>
      </c>
      <c r="C60" s="413" t="s">
        <v>471</v>
      </c>
      <c r="D60" s="160" t="s">
        <v>611</v>
      </c>
      <c r="E60" s="99">
        <v>0</v>
      </c>
      <c r="F60" s="100">
        <f>E63+7650</f>
        <v>7650</v>
      </c>
      <c r="G60" s="38">
        <v>7216</v>
      </c>
      <c r="H60" s="202" t="s">
        <v>280</v>
      </c>
      <c r="I60" s="34">
        <f t="shared" si="13"/>
        <v>94.326797385620921</v>
      </c>
      <c r="K60" s="288"/>
      <c r="L60" s="288"/>
      <c r="M60" s="289"/>
    </row>
    <row r="61" spans="1:13">
      <c r="A61" s="427" t="s">
        <v>151</v>
      </c>
      <c r="B61" s="291" t="s">
        <v>875</v>
      </c>
      <c r="C61" s="429" t="s">
        <v>781</v>
      </c>
      <c r="D61" s="160" t="s">
        <v>611</v>
      </c>
      <c r="E61" s="99">
        <v>0</v>
      </c>
      <c r="F61" s="100">
        <v>22000</v>
      </c>
      <c r="G61" s="38">
        <v>22000</v>
      </c>
      <c r="H61" s="202" t="s">
        <v>280</v>
      </c>
      <c r="I61" s="34">
        <f t="shared" si="13"/>
        <v>100</v>
      </c>
      <c r="K61" s="288"/>
      <c r="L61" s="288"/>
      <c r="M61" s="289"/>
    </row>
    <row r="62" spans="1:13">
      <c r="A62" s="427" t="s">
        <v>151</v>
      </c>
      <c r="B62" s="291" t="s">
        <v>876</v>
      </c>
      <c r="C62" s="429" t="s">
        <v>782</v>
      </c>
      <c r="D62" s="160" t="s">
        <v>611</v>
      </c>
      <c r="E62" s="99">
        <v>0</v>
      </c>
      <c r="F62" s="100">
        <v>19750</v>
      </c>
      <c r="G62" s="38">
        <v>19750</v>
      </c>
      <c r="H62" s="202" t="s">
        <v>280</v>
      </c>
      <c r="I62" s="34">
        <f t="shared" si="13"/>
        <v>100</v>
      </c>
      <c r="K62" s="288"/>
      <c r="L62" s="288"/>
      <c r="M62" s="289"/>
    </row>
    <row r="63" spans="1:13">
      <c r="A63" s="412" t="s">
        <v>151</v>
      </c>
      <c r="B63" s="291" t="s">
        <v>877</v>
      </c>
      <c r="C63" s="371" t="s">
        <v>475</v>
      </c>
      <c r="D63" s="160" t="s">
        <v>611</v>
      </c>
      <c r="E63" s="99">
        <v>0</v>
      </c>
      <c r="F63" s="100">
        <v>4300</v>
      </c>
      <c r="G63" s="293">
        <v>4224</v>
      </c>
      <c r="H63" s="202" t="s">
        <v>280</v>
      </c>
      <c r="I63" s="42">
        <f t="shared" si="13"/>
        <v>98.232558139534888</v>
      </c>
      <c r="K63" s="288"/>
      <c r="L63" s="288"/>
      <c r="M63" s="289"/>
    </row>
    <row r="64" spans="1:13">
      <c r="A64" s="290" t="s">
        <v>151</v>
      </c>
      <c r="B64" s="291" t="s">
        <v>878</v>
      </c>
      <c r="C64" s="415" t="s">
        <v>454</v>
      </c>
      <c r="D64" s="160" t="s">
        <v>611</v>
      </c>
      <c r="E64" s="99">
        <v>0</v>
      </c>
      <c r="F64" s="100">
        <f>E64+1456.2</f>
        <v>1456.2</v>
      </c>
      <c r="G64" s="38">
        <v>1198</v>
      </c>
      <c r="H64" s="202" t="s">
        <v>280</v>
      </c>
      <c r="I64" s="34">
        <f t="shared" si="13"/>
        <v>82.268919104518616</v>
      </c>
      <c r="K64" s="288"/>
      <c r="L64" s="288"/>
      <c r="M64" s="289"/>
    </row>
    <row r="65" spans="1:13">
      <c r="A65" s="290" t="s">
        <v>151</v>
      </c>
      <c r="B65" s="291" t="s">
        <v>879</v>
      </c>
      <c r="C65" s="415" t="s">
        <v>629</v>
      </c>
      <c r="D65" s="160" t="s">
        <v>611</v>
      </c>
      <c r="E65" s="99">
        <v>0</v>
      </c>
      <c r="F65" s="100">
        <v>453</v>
      </c>
      <c r="G65" s="38">
        <v>452</v>
      </c>
      <c r="H65" s="202" t="s">
        <v>280</v>
      </c>
      <c r="I65" s="34">
        <f t="shared" si="13"/>
        <v>99.779249448123622</v>
      </c>
      <c r="K65" s="288"/>
      <c r="L65" s="288"/>
      <c r="M65" s="289"/>
    </row>
    <row r="66" spans="1:13">
      <c r="A66" s="290" t="s">
        <v>151</v>
      </c>
      <c r="B66" s="291" t="s">
        <v>880</v>
      </c>
      <c r="C66" s="415" t="s">
        <v>790</v>
      </c>
      <c r="D66" s="160" t="s">
        <v>611</v>
      </c>
      <c r="E66" s="99">
        <v>0</v>
      </c>
      <c r="F66" s="100">
        <v>5950</v>
      </c>
      <c r="G66" s="38">
        <v>5635</v>
      </c>
      <c r="H66" s="202" t="s">
        <v>280</v>
      </c>
      <c r="I66" s="34">
        <f t="shared" si="13"/>
        <v>94.705882352941174</v>
      </c>
    </row>
    <row r="67" spans="1:13">
      <c r="A67" s="290" t="s">
        <v>151</v>
      </c>
      <c r="B67" s="291" t="s">
        <v>881</v>
      </c>
      <c r="C67" s="292" t="s">
        <v>791</v>
      </c>
      <c r="D67" s="160" t="s">
        <v>611</v>
      </c>
      <c r="E67" s="99">
        <v>0</v>
      </c>
      <c r="F67" s="100">
        <v>140</v>
      </c>
      <c r="G67" s="38">
        <v>0</v>
      </c>
      <c r="H67" s="202" t="s">
        <v>280</v>
      </c>
      <c r="I67" s="34">
        <f t="shared" si="13"/>
        <v>0</v>
      </c>
    </row>
    <row r="68" spans="1:13">
      <c r="A68" s="290" t="s">
        <v>151</v>
      </c>
      <c r="B68" s="291" t="s">
        <v>882</v>
      </c>
      <c r="C68" s="413" t="s">
        <v>472</v>
      </c>
      <c r="D68" s="160" t="s">
        <v>611</v>
      </c>
      <c r="E68" s="99">
        <v>0</v>
      </c>
      <c r="F68" s="100">
        <f>E68+110</f>
        <v>110</v>
      </c>
      <c r="G68" s="38">
        <v>0</v>
      </c>
      <c r="H68" s="202" t="s">
        <v>280</v>
      </c>
      <c r="I68" s="34">
        <f t="shared" si="13"/>
        <v>0</v>
      </c>
    </row>
    <row r="69" spans="1:13">
      <c r="A69" s="290" t="s">
        <v>151</v>
      </c>
      <c r="B69" s="291" t="s">
        <v>883</v>
      </c>
      <c r="C69" s="413" t="s">
        <v>473</v>
      </c>
      <c r="D69" s="160" t="s">
        <v>611</v>
      </c>
      <c r="E69" s="99">
        <v>0</v>
      </c>
      <c r="F69" s="100">
        <f>E69+61.1</f>
        <v>61.1</v>
      </c>
      <c r="G69" s="38">
        <v>61</v>
      </c>
      <c r="H69" s="202" t="s">
        <v>280</v>
      </c>
      <c r="I69" s="34">
        <f t="shared" si="13"/>
        <v>99.836333878887075</v>
      </c>
    </row>
    <row r="70" spans="1:13" ht="15.75" thickBot="1">
      <c r="A70" s="416" t="s">
        <v>151</v>
      </c>
      <c r="B70" s="417" t="s">
        <v>884</v>
      </c>
      <c r="C70" s="827" t="s">
        <v>609</v>
      </c>
      <c r="D70" s="419" t="s">
        <v>611</v>
      </c>
      <c r="E70" s="367">
        <v>0</v>
      </c>
      <c r="F70" s="368">
        <v>21805</v>
      </c>
      <c r="G70" s="367">
        <v>14144</v>
      </c>
      <c r="H70" s="941" t="s">
        <v>280</v>
      </c>
      <c r="I70" s="95">
        <f t="shared" si="13"/>
        <v>64.865856454941522</v>
      </c>
      <c r="K70" s="274"/>
    </row>
    <row r="71" spans="1:13">
      <c r="A71" s="420"/>
      <c r="B71" s="421"/>
      <c r="C71" s="715"/>
      <c r="D71" s="161"/>
      <c r="E71" s="96"/>
      <c r="F71" s="97"/>
      <c r="G71" s="96"/>
      <c r="H71" s="885"/>
      <c r="I71" s="98"/>
      <c r="K71" s="274"/>
    </row>
    <row r="72" spans="1:13" ht="15.75" thickBot="1">
      <c r="A72" s="420"/>
      <c r="B72" s="421"/>
      <c r="C72" s="422"/>
      <c r="D72" s="161"/>
      <c r="E72" s="96"/>
      <c r="F72" s="97"/>
      <c r="G72" s="96"/>
      <c r="H72" s="295"/>
      <c r="I72" s="6" t="s">
        <v>806</v>
      </c>
      <c r="K72" s="274"/>
    </row>
    <row r="73" spans="1:13">
      <c r="A73" s="7" t="s">
        <v>1</v>
      </c>
      <c r="B73" s="8" t="s">
        <v>2</v>
      </c>
      <c r="C73" s="45" t="s">
        <v>3</v>
      </c>
      <c r="D73" s="9"/>
      <c r="E73" s="8" t="s">
        <v>4</v>
      </c>
      <c r="F73" s="8" t="s">
        <v>312</v>
      </c>
      <c r="G73" s="8" t="s">
        <v>314</v>
      </c>
      <c r="H73" s="8" t="s">
        <v>316</v>
      </c>
      <c r="I73" s="10" t="s">
        <v>316</v>
      </c>
      <c r="K73" s="274"/>
    </row>
    <row r="74" spans="1:13">
      <c r="A74" s="11" t="s">
        <v>5</v>
      </c>
      <c r="B74" s="12" t="s">
        <v>6</v>
      </c>
      <c r="C74" s="46" t="s">
        <v>7</v>
      </c>
      <c r="D74" s="13" t="s">
        <v>8</v>
      </c>
      <c r="E74" s="12" t="s">
        <v>231</v>
      </c>
      <c r="F74" s="12" t="s">
        <v>319</v>
      </c>
      <c r="G74" s="12" t="s">
        <v>315</v>
      </c>
      <c r="H74" s="12" t="s">
        <v>317</v>
      </c>
      <c r="I74" s="14" t="s">
        <v>318</v>
      </c>
      <c r="K74" s="274"/>
    </row>
    <row r="75" spans="1:13" ht="15.75" thickBot="1">
      <c r="A75" s="47" t="s">
        <v>9</v>
      </c>
      <c r="B75" s="15" t="s">
        <v>10</v>
      </c>
      <c r="C75" s="48"/>
      <c r="D75" s="49"/>
      <c r="E75" s="15" t="s">
        <v>408</v>
      </c>
      <c r="F75" s="16">
        <v>46022</v>
      </c>
      <c r="G75" s="16">
        <f>F75</f>
        <v>46022</v>
      </c>
      <c r="H75" s="16" t="s">
        <v>211</v>
      </c>
      <c r="I75" s="17" t="s">
        <v>211</v>
      </c>
      <c r="K75" s="274"/>
    </row>
    <row r="76" spans="1:13" ht="15.75">
      <c r="A76" s="998" t="s">
        <v>320</v>
      </c>
      <c r="B76" s="999"/>
      <c r="C76" s="1000"/>
      <c r="D76" s="791"/>
      <c r="E76" s="792"/>
      <c r="F76" s="793"/>
      <c r="G76" s="792"/>
      <c r="H76" s="794"/>
      <c r="I76" s="795"/>
    </row>
    <row r="77" spans="1:13" ht="25.5">
      <c r="A77" s="290" t="s">
        <v>151</v>
      </c>
      <c r="B77" s="291" t="s">
        <v>547</v>
      </c>
      <c r="C77" s="413" t="s">
        <v>797</v>
      </c>
      <c r="D77" s="160" t="s">
        <v>611</v>
      </c>
      <c r="E77" s="60">
        <v>0</v>
      </c>
      <c r="F77" s="61">
        <v>55.7</v>
      </c>
      <c r="G77" s="31">
        <v>55</v>
      </c>
      <c r="H77" s="428" t="s">
        <v>280</v>
      </c>
      <c r="I77" s="42">
        <f t="shared" ref="I77" si="15">(G77/F77)*100</f>
        <v>98.74326750448833</v>
      </c>
    </row>
    <row r="78" spans="1:13">
      <c r="A78" s="290" t="s">
        <v>151</v>
      </c>
      <c r="B78" s="291" t="s">
        <v>885</v>
      </c>
      <c r="C78" s="413" t="s">
        <v>543</v>
      </c>
      <c r="D78" s="160" t="s">
        <v>611</v>
      </c>
      <c r="E78" s="60">
        <v>0</v>
      </c>
      <c r="F78" s="61">
        <v>46.2</v>
      </c>
      <c r="G78" s="31">
        <v>44</v>
      </c>
      <c r="H78" s="428" t="s">
        <v>280</v>
      </c>
      <c r="I78" s="42">
        <f t="shared" si="13"/>
        <v>95.238095238095227</v>
      </c>
    </row>
    <row r="79" spans="1:13">
      <c r="A79" s="412" t="s">
        <v>151</v>
      </c>
      <c r="B79" s="431" t="s">
        <v>886</v>
      </c>
      <c r="C79" s="432" t="s">
        <v>610</v>
      </c>
      <c r="D79" s="433" t="s">
        <v>611</v>
      </c>
      <c r="E79" s="162">
        <v>0</v>
      </c>
      <c r="F79" s="430">
        <v>52</v>
      </c>
      <c r="G79" s="293">
        <v>51</v>
      </c>
      <c r="H79" s="771" t="s">
        <v>280</v>
      </c>
      <c r="I79" s="34">
        <f t="shared" si="13"/>
        <v>98.076923076923066</v>
      </c>
    </row>
    <row r="80" spans="1:13" ht="15.75" thickBot="1">
      <c r="A80" s="416" t="s">
        <v>151</v>
      </c>
      <c r="B80" s="417" t="s">
        <v>783</v>
      </c>
      <c r="C80" s="796" t="s">
        <v>785</v>
      </c>
      <c r="D80" s="419" t="s">
        <v>611</v>
      </c>
      <c r="E80" s="367">
        <v>0</v>
      </c>
      <c r="F80" s="368">
        <v>1790.3</v>
      </c>
      <c r="G80" s="367">
        <v>1790</v>
      </c>
      <c r="H80" s="797" t="s">
        <v>280</v>
      </c>
      <c r="I80" s="95">
        <f t="shared" si="13"/>
        <v>99.983243031894091</v>
      </c>
    </row>
    <row r="81" spans="1:11" ht="16.5" thickBot="1">
      <c r="A81" s="103" t="s">
        <v>322</v>
      </c>
      <c r="B81" s="424"/>
      <c r="C81" s="104"/>
      <c r="D81" s="104"/>
      <c r="E81" s="787">
        <f>E20</f>
        <v>67240</v>
      </c>
      <c r="F81" s="788">
        <f>F20</f>
        <v>287031.3</v>
      </c>
      <c r="G81" s="787">
        <f>G20</f>
        <v>137848</v>
      </c>
      <c r="H81" s="789">
        <f>(G81/E81)*100</f>
        <v>205.00892325996429</v>
      </c>
      <c r="I81" s="790">
        <f>(G81/F81)*100</f>
        <v>48.025424404934235</v>
      </c>
      <c r="K81" s="856"/>
    </row>
    <row r="82" spans="1:11" ht="16.5" thickBot="1">
      <c r="A82" s="68"/>
      <c r="B82" s="108"/>
      <c r="C82" s="68"/>
      <c r="D82" s="68"/>
      <c r="E82" s="68"/>
      <c r="F82" s="487"/>
      <c r="G82" s="68"/>
      <c r="H82" s="488"/>
      <c r="I82" s="488"/>
    </row>
    <row r="83" spans="1:11" ht="16.5" thickBot="1">
      <c r="A83" s="105" t="s">
        <v>362</v>
      </c>
      <c r="B83" s="402"/>
      <c r="C83" s="107"/>
      <c r="D83" s="108"/>
      <c r="E83" s="772">
        <f>E15+E81</f>
        <v>77105</v>
      </c>
      <c r="F83" s="773">
        <f>F15+F81</f>
        <v>301172.39999999997</v>
      </c>
      <c r="G83" s="772">
        <f>G15+G81</f>
        <v>146674</v>
      </c>
      <c r="H83" s="740">
        <f>(G83/E83)*100</f>
        <v>190.22631476557942</v>
      </c>
      <c r="I83" s="541">
        <f>(G83/F83)*100</f>
        <v>48.701009787085411</v>
      </c>
      <c r="K83" s="856"/>
    </row>
    <row r="85" spans="1:11">
      <c r="G85" s="774"/>
      <c r="H85" s="133"/>
      <c r="I85" s="133"/>
      <c r="J85" s="133"/>
      <c r="K85" s="133"/>
    </row>
    <row r="86" spans="1:11">
      <c r="G86" s="133"/>
      <c r="H86" s="133"/>
      <c r="I86" s="133"/>
      <c r="J86" s="133"/>
      <c r="K86" s="133"/>
    </row>
    <row r="87" spans="1:11">
      <c r="G87" s="133"/>
      <c r="H87" s="133"/>
      <c r="I87" s="133"/>
      <c r="J87" s="133"/>
      <c r="K87" s="133"/>
    </row>
    <row r="88" spans="1:11">
      <c r="G88" s="133"/>
      <c r="H88" s="133"/>
      <c r="I88" s="133"/>
      <c r="J88" s="133"/>
      <c r="K88" s="133"/>
    </row>
    <row r="89" spans="1:11">
      <c r="G89" s="133"/>
      <c r="H89" s="133"/>
      <c r="I89" s="133"/>
      <c r="J89" s="133"/>
      <c r="K89" s="133"/>
    </row>
    <row r="90" spans="1:11">
      <c r="G90" s="133"/>
      <c r="H90" s="133"/>
      <c r="I90" s="133"/>
      <c r="J90" s="133"/>
      <c r="K90" s="133"/>
    </row>
    <row r="91" spans="1:11">
      <c r="G91" s="133"/>
      <c r="H91" s="133"/>
      <c r="I91" s="133"/>
      <c r="J91" s="133"/>
      <c r="K91" s="133"/>
    </row>
  </sheetData>
  <mergeCells count="6">
    <mergeCell ref="A76:C76"/>
    <mergeCell ref="A39:C39"/>
    <mergeCell ref="A1:D1"/>
    <mergeCell ref="B13:C13"/>
    <mergeCell ref="A15:C15"/>
    <mergeCell ref="B21:D2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6C2F-C343-4EB4-B4BC-92EFF7657F3A}">
  <dimension ref="A2:O146"/>
  <sheetViews>
    <sheetView zoomScaleNormal="100" workbookViewId="0">
      <selection activeCell="L86" sqref="L86"/>
    </sheetView>
  </sheetViews>
  <sheetFormatPr defaultRowHeight="15"/>
  <cols>
    <col min="2" max="2" width="14.140625" customWidth="1"/>
    <col min="3" max="3" width="34.85546875" customWidth="1"/>
    <col min="4" max="4" width="50.7109375" customWidth="1"/>
    <col min="5" max="5" width="13.140625" customWidth="1"/>
    <col min="6" max="6" width="14.7109375" customWidth="1"/>
    <col min="7" max="7" width="15.85546875" customWidth="1"/>
    <col min="8" max="8" width="11.28515625" customWidth="1"/>
    <col min="9" max="9" width="12.140625" style="1" customWidth="1"/>
    <col min="11" max="11" width="11" customWidth="1"/>
    <col min="12" max="12" width="9.5703125" bestFit="1" customWidth="1"/>
  </cols>
  <sheetData>
    <row r="2" spans="1:15" ht="14.25" customHeight="1" thickBot="1">
      <c r="A2" s="296" t="s">
        <v>155</v>
      </c>
      <c r="B2" s="296"/>
      <c r="C2" s="296"/>
      <c r="D2" s="296"/>
      <c r="E2" s="296"/>
      <c r="F2" s="150"/>
      <c r="G2" s="297"/>
      <c r="H2" s="150"/>
      <c r="I2" s="6" t="s">
        <v>803</v>
      </c>
    </row>
    <row r="3" spans="1:15" ht="15" customHeight="1">
      <c r="A3" s="220" t="s">
        <v>1</v>
      </c>
      <c r="B3" s="168" t="s">
        <v>2</v>
      </c>
      <c r="C3" s="169" t="s">
        <v>3</v>
      </c>
      <c r="D3" s="298"/>
      <c r="E3" s="8" t="s">
        <v>4</v>
      </c>
      <c r="F3" s="8" t="s">
        <v>312</v>
      </c>
      <c r="G3" s="111" t="s">
        <v>314</v>
      </c>
      <c r="H3" s="8" t="s">
        <v>316</v>
      </c>
      <c r="I3" s="10" t="s">
        <v>316</v>
      </c>
    </row>
    <row r="4" spans="1:15" ht="15" customHeight="1">
      <c r="A4" s="222" t="s">
        <v>5</v>
      </c>
      <c r="B4" s="171" t="s">
        <v>6</v>
      </c>
      <c r="C4" s="172" t="s">
        <v>7</v>
      </c>
      <c r="D4" s="173" t="s">
        <v>8</v>
      </c>
      <c r="E4" s="12" t="s">
        <v>231</v>
      </c>
      <c r="F4" s="12" t="s">
        <v>319</v>
      </c>
      <c r="G4" s="112" t="s">
        <v>315</v>
      </c>
      <c r="H4" s="12" t="s">
        <v>317</v>
      </c>
      <c r="I4" s="14" t="s">
        <v>318</v>
      </c>
    </row>
    <row r="5" spans="1:15" ht="15" customHeight="1" thickBot="1">
      <c r="A5" s="223" t="s">
        <v>9</v>
      </c>
      <c r="B5" s="175" t="s">
        <v>10</v>
      </c>
      <c r="C5" s="176"/>
      <c r="D5" s="299"/>
      <c r="E5" s="15" t="s">
        <v>408</v>
      </c>
      <c r="F5" s="16">
        <v>46022</v>
      </c>
      <c r="G5" s="16">
        <v>46022</v>
      </c>
      <c r="H5" s="16" t="s">
        <v>211</v>
      </c>
      <c r="I5" s="17" t="s">
        <v>211</v>
      </c>
    </row>
    <row r="6" spans="1:15" ht="18.75" customHeight="1">
      <c r="A6" s="300" t="s">
        <v>11</v>
      </c>
      <c r="B6" s="301"/>
      <c r="C6" s="180"/>
      <c r="D6" s="405"/>
      <c r="E6" s="406"/>
      <c r="F6" s="407"/>
      <c r="G6" s="870"/>
      <c r="H6" s="21"/>
      <c r="I6" s="2"/>
    </row>
    <row r="7" spans="1:15" ht="15" customHeight="1">
      <c r="A7" s="302" t="s">
        <v>156</v>
      </c>
      <c r="B7" s="303" t="s">
        <v>157</v>
      </c>
      <c r="C7" s="304"/>
      <c r="D7" s="305"/>
      <c r="E7" s="27">
        <f>E8+E18+E27</f>
        <v>312308</v>
      </c>
      <c r="F7" s="35">
        <f>F8+F18+F27</f>
        <v>336020.40000000008</v>
      </c>
      <c r="G7" s="27">
        <f>G8+G18+G27</f>
        <v>304329.8</v>
      </c>
      <c r="H7" s="408">
        <f>(G7/E7)*100</f>
        <v>97.445406457727628</v>
      </c>
      <c r="I7" s="306">
        <f>(G7/F7)*100</f>
        <v>90.568846415277136</v>
      </c>
      <c r="K7" s="369"/>
    </row>
    <row r="8" spans="1:15" ht="15" customHeight="1">
      <c r="A8" s="302"/>
      <c r="B8" s="307"/>
      <c r="C8" s="308"/>
      <c r="D8" s="305" t="s">
        <v>168</v>
      </c>
      <c r="E8" s="27">
        <f t="shared" ref="E8" si="0">SUM(E9:E16)</f>
        <v>30364</v>
      </c>
      <c r="F8" s="35">
        <f>SUM(F9:F16)</f>
        <v>30364</v>
      </c>
      <c r="G8" s="27">
        <f>SUM(G9:G16)</f>
        <v>29435.8</v>
      </c>
      <c r="H8" s="28">
        <f t="shared" ref="H8:H16" si="1">(G8/E8)*100</f>
        <v>96.943090501910163</v>
      </c>
      <c r="I8" s="29">
        <f t="shared" ref="I8:I25" si="2">(G8/F8)*100</f>
        <v>96.943090501910163</v>
      </c>
      <c r="K8" s="369"/>
      <c r="L8" s="166"/>
    </row>
    <row r="9" spans="1:15" ht="15" customHeight="1">
      <c r="A9" s="302"/>
      <c r="B9" s="307"/>
      <c r="C9" s="308"/>
      <c r="D9" s="312" t="s">
        <v>309</v>
      </c>
      <c r="E9" s="31">
        <v>35</v>
      </c>
      <c r="F9" s="32">
        <v>35</v>
      </c>
      <c r="G9" s="31">
        <v>12.8</v>
      </c>
      <c r="H9" s="33">
        <f t="shared" si="1"/>
        <v>36.571428571428569</v>
      </c>
      <c r="I9" s="34">
        <f t="shared" si="2"/>
        <v>36.571428571428569</v>
      </c>
      <c r="K9" s="90"/>
      <c r="L9" s="166"/>
    </row>
    <row r="10" spans="1:15" ht="15" customHeight="1">
      <c r="A10" s="309"/>
      <c r="B10" s="310"/>
      <c r="C10" s="321"/>
      <c r="D10" s="312" t="s">
        <v>169</v>
      </c>
      <c r="E10" s="31">
        <v>23149</v>
      </c>
      <c r="F10" s="32">
        <v>23149</v>
      </c>
      <c r="G10" s="31">
        <v>23118</v>
      </c>
      <c r="H10" s="33">
        <f t="shared" si="1"/>
        <v>99.866084928074656</v>
      </c>
      <c r="I10" s="34">
        <f t="shared" si="2"/>
        <v>99.866084928074656</v>
      </c>
      <c r="K10" s="90"/>
      <c r="L10" s="133"/>
      <c r="M10" s="133"/>
      <c r="N10" s="133"/>
      <c r="O10" s="133"/>
    </row>
    <row r="11" spans="1:15" ht="15" customHeight="1">
      <c r="A11" s="309"/>
      <c r="B11" s="310"/>
      <c r="C11" s="321" t="s">
        <v>265</v>
      </c>
      <c r="D11" s="312" t="s">
        <v>266</v>
      </c>
      <c r="E11" s="31">
        <v>70</v>
      </c>
      <c r="F11" s="32">
        <v>70</v>
      </c>
      <c r="G11" s="31">
        <v>37</v>
      </c>
      <c r="H11" s="33">
        <f t="shared" si="1"/>
        <v>52.857142857142861</v>
      </c>
      <c r="I11" s="34">
        <f t="shared" si="2"/>
        <v>52.857142857142861</v>
      </c>
      <c r="K11" s="90"/>
      <c r="L11" s="133"/>
      <c r="M11" s="133"/>
      <c r="N11" s="133"/>
      <c r="O11" s="133"/>
    </row>
    <row r="12" spans="1:15" ht="15" customHeight="1">
      <c r="A12" s="309"/>
      <c r="B12" s="310"/>
      <c r="C12" s="321"/>
      <c r="D12" s="312" t="s">
        <v>164</v>
      </c>
      <c r="E12" s="31">
        <v>4398</v>
      </c>
      <c r="F12" s="32">
        <v>4398</v>
      </c>
      <c r="G12" s="31">
        <v>3778</v>
      </c>
      <c r="H12" s="33">
        <f t="shared" si="1"/>
        <v>85.902683037744438</v>
      </c>
      <c r="I12" s="34">
        <f t="shared" si="2"/>
        <v>85.902683037744438</v>
      </c>
      <c r="K12" s="90"/>
      <c r="L12" s="133"/>
      <c r="M12" s="133"/>
      <c r="N12" s="133"/>
      <c r="O12" s="133"/>
    </row>
    <row r="13" spans="1:15" ht="15" customHeight="1">
      <c r="A13" s="309"/>
      <c r="B13" s="310"/>
      <c r="C13" s="321"/>
      <c r="D13" s="312" t="s">
        <v>165</v>
      </c>
      <c r="E13" s="31">
        <v>2156</v>
      </c>
      <c r="F13" s="32">
        <v>2156</v>
      </c>
      <c r="G13" s="31">
        <v>2061</v>
      </c>
      <c r="H13" s="33">
        <f t="shared" si="1"/>
        <v>95.593692022263454</v>
      </c>
      <c r="I13" s="34">
        <f t="shared" si="2"/>
        <v>95.593692022263454</v>
      </c>
      <c r="K13" s="90"/>
      <c r="L13" s="133"/>
      <c r="M13" s="133"/>
      <c r="N13" s="133"/>
      <c r="O13" s="133"/>
    </row>
    <row r="14" spans="1:15" ht="15" customHeight="1">
      <c r="A14" s="309"/>
      <c r="B14" s="310"/>
      <c r="C14" s="321"/>
      <c r="D14" s="312" t="s">
        <v>308</v>
      </c>
      <c r="E14" s="31">
        <v>10</v>
      </c>
      <c r="F14" s="32">
        <v>10</v>
      </c>
      <c r="G14" s="31">
        <v>4</v>
      </c>
      <c r="H14" s="33">
        <f t="shared" si="1"/>
        <v>40</v>
      </c>
      <c r="I14" s="34">
        <f t="shared" si="2"/>
        <v>40</v>
      </c>
      <c r="K14" s="90"/>
      <c r="L14" s="133"/>
      <c r="M14" s="133"/>
      <c r="N14" s="133"/>
      <c r="O14" s="133"/>
    </row>
    <row r="15" spans="1:15" ht="15" customHeight="1">
      <c r="A15" s="309"/>
      <c r="B15" s="310"/>
      <c r="C15" s="311" t="s">
        <v>161</v>
      </c>
      <c r="D15" s="312" t="s">
        <v>170</v>
      </c>
      <c r="E15" s="31">
        <v>416</v>
      </c>
      <c r="F15" s="32">
        <v>416</v>
      </c>
      <c r="G15" s="251">
        <v>375</v>
      </c>
      <c r="H15" s="33">
        <f t="shared" si="1"/>
        <v>90.144230769230774</v>
      </c>
      <c r="I15" s="34">
        <f t="shared" si="2"/>
        <v>90.144230769230774</v>
      </c>
      <c r="K15" s="90"/>
      <c r="L15" s="133"/>
      <c r="M15" s="133"/>
      <c r="N15" s="133"/>
      <c r="O15" s="133"/>
    </row>
    <row r="16" spans="1:15" ht="15" customHeight="1">
      <c r="A16" s="309"/>
      <c r="B16" s="310"/>
      <c r="C16" s="311" t="s">
        <v>220</v>
      </c>
      <c r="D16" s="312" t="s">
        <v>193</v>
      </c>
      <c r="E16" s="31">
        <v>130</v>
      </c>
      <c r="F16" s="32">
        <v>130</v>
      </c>
      <c r="G16" s="251">
        <v>50</v>
      </c>
      <c r="H16" s="33">
        <f t="shared" si="1"/>
        <v>38.461538461538467</v>
      </c>
      <c r="I16" s="34">
        <f t="shared" si="2"/>
        <v>38.461538461538467</v>
      </c>
      <c r="K16" s="90"/>
      <c r="L16" s="133"/>
      <c r="M16" s="133"/>
      <c r="N16" s="133"/>
      <c r="O16" s="133"/>
    </row>
    <row r="17" spans="1:15" ht="15" customHeight="1">
      <c r="A17" s="309"/>
      <c r="B17" s="310"/>
      <c r="C17" s="311"/>
      <c r="D17" s="312"/>
      <c r="E17" s="31"/>
      <c r="F17" s="32"/>
      <c r="G17" s="251"/>
      <c r="H17" s="33"/>
      <c r="I17" s="34"/>
      <c r="K17" s="90"/>
      <c r="L17" s="133"/>
      <c r="M17" s="133"/>
      <c r="N17" s="133"/>
      <c r="O17" s="133"/>
    </row>
    <row r="18" spans="1:15" ht="15" customHeight="1">
      <c r="A18" s="309"/>
      <c r="B18" s="310"/>
      <c r="C18" s="308"/>
      <c r="D18" s="305" t="s">
        <v>630</v>
      </c>
      <c r="E18" s="27">
        <f>SUM(E19:E26)</f>
        <v>0</v>
      </c>
      <c r="F18" s="35">
        <f>SUM(F19:F26)</f>
        <v>2336.9</v>
      </c>
      <c r="G18" s="27">
        <f>SUM(G19:G26)</f>
        <v>2747</v>
      </c>
      <c r="H18" s="189" t="s">
        <v>280</v>
      </c>
      <c r="I18" s="29">
        <f t="shared" si="2"/>
        <v>117.54888955453806</v>
      </c>
      <c r="K18" s="369"/>
      <c r="L18" s="133"/>
      <c r="M18" s="133"/>
      <c r="N18" s="133"/>
      <c r="O18" s="133"/>
    </row>
    <row r="19" spans="1:15" ht="15" customHeight="1">
      <c r="A19" s="309"/>
      <c r="B19" s="310"/>
      <c r="C19" s="321"/>
      <c r="D19" s="312" t="s">
        <v>307</v>
      </c>
      <c r="E19" s="31">
        <v>0</v>
      </c>
      <c r="F19" s="32">
        <v>45.8</v>
      </c>
      <c r="G19" s="31">
        <v>46</v>
      </c>
      <c r="H19" s="202" t="s">
        <v>280</v>
      </c>
      <c r="I19" s="34">
        <f t="shared" si="2"/>
        <v>100.43668122270743</v>
      </c>
      <c r="K19" s="90"/>
      <c r="L19" s="133"/>
      <c r="M19" s="133"/>
      <c r="N19" s="133"/>
      <c r="O19" s="133"/>
    </row>
    <row r="20" spans="1:15" ht="15" customHeight="1">
      <c r="A20" s="309"/>
      <c r="B20" s="310"/>
      <c r="C20" s="321"/>
      <c r="D20" s="312" t="s">
        <v>160</v>
      </c>
      <c r="E20" s="31">
        <v>0</v>
      </c>
      <c r="F20" s="32">
        <v>2028.7</v>
      </c>
      <c r="G20" s="31">
        <v>2440</v>
      </c>
      <c r="H20" s="202" t="s">
        <v>280</v>
      </c>
      <c r="I20" s="34">
        <f t="shared" si="2"/>
        <v>120.27406713658992</v>
      </c>
      <c r="K20" s="90"/>
      <c r="L20" s="133"/>
      <c r="M20" s="133"/>
      <c r="N20" s="133"/>
      <c r="O20" s="133"/>
    </row>
    <row r="21" spans="1:15" ht="15" customHeight="1">
      <c r="A21" s="309"/>
      <c r="B21" s="310"/>
      <c r="C21" s="321"/>
      <c r="D21" s="312" t="s">
        <v>266</v>
      </c>
      <c r="E21" s="31">
        <v>0</v>
      </c>
      <c r="F21" s="32">
        <v>10.199999999999999</v>
      </c>
      <c r="G21" s="31">
        <v>10</v>
      </c>
      <c r="H21" s="202" t="s">
        <v>280</v>
      </c>
      <c r="I21" s="34">
        <f t="shared" si="2"/>
        <v>98.039215686274517</v>
      </c>
      <c r="K21" s="90"/>
      <c r="L21" s="133"/>
      <c r="M21" s="133"/>
      <c r="N21" s="133"/>
      <c r="O21" s="133"/>
    </row>
    <row r="22" spans="1:15" ht="15" customHeight="1">
      <c r="A22" s="309"/>
      <c r="B22" s="310"/>
      <c r="C22" s="311"/>
      <c r="D22" s="312" t="s">
        <v>164</v>
      </c>
      <c r="E22" s="31">
        <v>0</v>
      </c>
      <c r="F22" s="32">
        <v>53.1</v>
      </c>
      <c r="G22" s="251">
        <v>53</v>
      </c>
      <c r="H22" s="202" t="s">
        <v>280</v>
      </c>
      <c r="I22" s="34">
        <f t="shared" si="2"/>
        <v>99.811676082862519</v>
      </c>
      <c r="K22" s="90"/>
      <c r="L22" s="133"/>
      <c r="M22" s="133"/>
      <c r="N22" s="133"/>
      <c r="O22" s="133"/>
    </row>
    <row r="23" spans="1:15" ht="15" customHeight="1">
      <c r="A23" s="309"/>
      <c r="B23" s="310"/>
      <c r="C23" s="311"/>
      <c r="D23" s="312" t="s">
        <v>165</v>
      </c>
      <c r="E23" s="31">
        <v>0</v>
      </c>
      <c r="F23" s="32">
        <v>19.3</v>
      </c>
      <c r="G23" s="251">
        <v>19</v>
      </c>
      <c r="H23" s="202" t="s">
        <v>280</v>
      </c>
      <c r="I23" s="34">
        <f t="shared" si="2"/>
        <v>98.445595854922274</v>
      </c>
      <c r="K23" s="90"/>
      <c r="L23" s="133"/>
      <c r="M23" s="133"/>
      <c r="N23" s="133"/>
      <c r="O23" s="133"/>
    </row>
    <row r="24" spans="1:15" ht="15" customHeight="1">
      <c r="A24" s="309"/>
      <c r="B24" s="310"/>
      <c r="C24" s="311"/>
      <c r="D24" s="312" t="s">
        <v>308</v>
      </c>
      <c r="E24" s="31">
        <v>0</v>
      </c>
      <c r="F24" s="32">
        <v>14.8</v>
      </c>
      <c r="G24" s="251">
        <v>15</v>
      </c>
      <c r="H24" s="202" t="s">
        <v>280</v>
      </c>
      <c r="I24" s="34">
        <f t="shared" si="2"/>
        <v>101.35135135135134</v>
      </c>
      <c r="K24" s="90"/>
      <c r="L24" s="133"/>
      <c r="M24" s="133"/>
      <c r="N24" s="133"/>
      <c r="O24" s="133"/>
    </row>
    <row r="25" spans="1:15" ht="15" customHeight="1">
      <c r="A25" s="309"/>
      <c r="B25" s="310"/>
      <c r="C25" s="311"/>
      <c r="D25" s="312" t="s">
        <v>170</v>
      </c>
      <c r="E25" s="31">
        <v>0</v>
      </c>
      <c r="F25" s="32">
        <v>165</v>
      </c>
      <c r="G25" s="251">
        <v>164</v>
      </c>
      <c r="H25" s="202" t="s">
        <v>280</v>
      </c>
      <c r="I25" s="34">
        <f t="shared" si="2"/>
        <v>99.393939393939391</v>
      </c>
      <c r="K25" s="90"/>
      <c r="L25" s="133"/>
      <c r="M25" s="133"/>
      <c r="N25" s="133"/>
      <c r="O25" s="133"/>
    </row>
    <row r="26" spans="1:15" ht="15" customHeight="1">
      <c r="A26" s="302"/>
      <c r="B26" s="307"/>
      <c r="C26" s="308"/>
      <c r="D26" s="305"/>
      <c r="E26" s="27"/>
      <c r="F26" s="35"/>
      <c r="G26" s="27"/>
      <c r="H26" s="28"/>
      <c r="I26" s="29"/>
      <c r="K26" s="90"/>
      <c r="L26" s="133"/>
      <c r="M26" s="133"/>
      <c r="N26" s="133"/>
      <c r="O26" s="133"/>
    </row>
    <row r="27" spans="1:15" ht="15" customHeight="1">
      <c r="A27" s="302"/>
      <c r="B27" s="307"/>
      <c r="C27" s="308"/>
      <c r="D27" s="305" t="s">
        <v>158</v>
      </c>
      <c r="E27" s="27">
        <f>SUM(E28:E44)</f>
        <v>281944</v>
      </c>
      <c r="F27" s="35">
        <f>SUM(F28:F44)</f>
        <v>303319.50000000006</v>
      </c>
      <c r="G27" s="27">
        <f>SUM(G28:G44)</f>
        <v>272147</v>
      </c>
      <c r="H27" s="28">
        <f t="shared" ref="H27:H48" si="3">(G27/E27)*100</f>
        <v>96.525196492920585</v>
      </c>
      <c r="I27" s="29">
        <f t="shared" ref="I27:I48" si="4">(G27/F27)*100</f>
        <v>89.722882966640768</v>
      </c>
      <c r="K27" s="369"/>
      <c r="L27" s="133"/>
      <c r="M27" s="133"/>
      <c r="N27" s="133"/>
      <c r="O27" s="133"/>
    </row>
    <row r="28" spans="1:15" ht="15" customHeight="1">
      <c r="A28" s="309"/>
      <c r="B28" s="310"/>
      <c r="C28" s="311"/>
      <c r="D28" s="312" t="s">
        <v>159</v>
      </c>
      <c r="E28" s="31">
        <v>192823</v>
      </c>
      <c r="F28" s="32">
        <v>207204.2</v>
      </c>
      <c r="G28" s="31">
        <v>185859</v>
      </c>
      <c r="H28" s="33">
        <f t="shared" si="3"/>
        <v>96.388397649657975</v>
      </c>
      <c r="I28" s="34">
        <f t="shared" si="4"/>
        <v>89.698471363032212</v>
      </c>
      <c r="L28" s="133"/>
      <c r="M28" s="133"/>
      <c r="N28" s="133"/>
      <c r="O28" s="133"/>
    </row>
    <row r="29" spans="1:15" ht="15" customHeight="1">
      <c r="A29" s="309"/>
      <c r="B29" s="310"/>
      <c r="C29" s="311"/>
      <c r="D29" s="312" t="s">
        <v>307</v>
      </c>
      <c r="E29" s="31">
        <v>10</v>
      </c>
      <c r="F29" s="32">
        <v>10</v>
      </c>
      <c r="G29" s="31">
        <v>0</v>
      </c>
      <c r="H29" s="33">
        <f t="shared" si="3"/>
        <v>0</v>
      </c>
      <c r="I29" s="34">
        <f t="shared" si="4"/>
        <v>0</v>
      </c>
      <c r="L29" s="133"/>
      <c r="M29" s="133"/>
      <c r="N29" s="133"/>
      <c r="O29" s="133"/>
    </row>
    <row r="30" spans="1:15" ht="15" customHeight="1">
      <c r="A30" s="309"/>
      <c r="B30" s="310"/>
      <c r="C30" s="311"/>
      <c r="D30" s="312" t="s">
        <v>160</v>
      </c>
      <c r="E30" s="31">
        <v>10000</v>
      </c>
      <c r="F30" s="32">
        <v>10978.5</v>
      </c>
      <c r="G30" s="31">
        <v>9651</v>
      </c>
      <c r="H30" s="33">
        <f t="shared" si="3"/>
        <v>96.509999999999991</v>
      </c>
      <c r="I30" s="34">
        <f t="shared" si="4"/>
        <v>87.908184178166408</v>
      </c>
      <c r="L30" s="133"/>
      <c r="M30" s="133"/>
      <c r="N30" s="133"/>
      <c r="O30" s="133"/>
    </row>
    <row r="31" spans="1:15" ht="15" customHeight="1">
      <c r="A31" s="309"/>
      <c r="B31" s="313"/>
      <c r="C31" s="311"/>
      <c r="D31" s="312" t="s">
        <v>163</v>
      </c>
      <c r="E31" s="31">
        <v>600</v>
      </c>
      <c r="F31" s="32">
        <v>600</v>
      </c>
      <c r="G31" s="31">
        <v>0</v>
      </c>
      <c r="H31" s="33">
        <f t="shared" si="3"/>
        <v>0</v>
      </c>
      <c r="I31" s="34">
        <f t="shared" si="4"/>
        <v>0</v>
      </c>
      <c r="L31" s="133"/>
      <c r="M31" s="133"/>
      <c r="N31" s="133"/>
      <c r="O31" s="133"/>
    </row>
    <row r="32" spans="1:15" ht="15" customHeight="1">
      <c r="A32" s="309"/>
      <c r="B32" s="310"/>
      <c r="C32" s="311"/>
      <c r="D32" s="312" t="s">
        <v>164</v>
      </c>
      <c r="E32" s="31">
        <v>47820</v>
      </c>
      <c r="F32" s="32">
        <v>51601.2</v>
      </c>
      <c r="G32" s="31">
        <v>47896</v>
      </c>
      <c r="H32" s="33">
        <f t="shared" si="3"/>
        <v>100.15892931827688</v>
      </c>
      <c r="I32" s="34">
        <f t="shared" si="4"/>
        <v>92.819546832244214</v>
      </c>
      <c r="L32" s="133"/>
      <c r="M32" s="133"/>
      <c r="N32" s="133"/>
      <c r="O32" s="133"/>
    </row>
    <row r="33" spans="1:15" ht="15" customHeight="1">
      <c r="A33" s="309"/>
      <c r="B33" s="310"/>
      <c r="C33" s="311"/>
      <c r="D33" s="312" t="s">
        <v>165</v>
      </c>
      <c r="E33" s="31">
        <v>17740</v>
      </c>
      <c r="F33" s="32">
        <v>19258</v>
      </c>
      <c r="G33" s="31">
        <v>17382</v>
      </c>
      <c r="H33" s="33">
        <f t="shared" si="3"/>
        <v>97.981961668545665</v>
      </c>
      <c r="I33" s="34">
        <f t="shared" si="4"/>
        <v>90.258593831135116</v>
      </c>
      <c r="L33" s="133"/>
      <c r="M33" s="133"/>
      <c r="N33" s="133"/>
      <c r="O33" s="133"/>
    </row>
    <row r="34" spans="1:15" ht="15" customHeight="1">
      <c r="A34" s="309"/>
      <c r="B34" s="310"/>
      <c r="C34" s="311"/>
      <c r="D34" s="312" t="s">
        <v>166</v>
      </c>
      <c r="E34" s="31">
        <v>900</v>
      </c>
      <c r="F34" s="32">
        <v>900</v>
      </c>
      <c r="G34" s="31">
        <v>873</v>
      </c>
      <c r="H34" s="33">
        <f t="shared" si="3"/>
        <v>97</v>
      </c>
      <c r="I34" s="34">
        <f t="shared" si="4"/>
        <v>97</v>
      </c>
      <c r="L34" s="133"/>
      <c r="M34" s="133"/>
      <c r="N34" s="133"/>
      <c r="O34" s="133"/>
    </row>
    <row r="35" spans="1:15" ht="15" customHeight="1">
      <c r="A35" s="309"/>
      <c r="B35" s="310"/>
      <c r="C35" s="311"/>
      <c r="D35" s="312" t="s">
        <v>308</v>
      </c>
      <c r="E35" s="31">
        <v>10</v>
      </c>
      <c r="F35" s="32">
        <v>10</v>
      </c>
      <c r="G35" s="31">
        <v>0</v>
      </c>
      <c r="H35" s="33">
        <f t="shared" si="3"/>
        <v>0</v>
      </c>
      <c r="I35" s="34">
        <f t="shared" si="4"/>
        <v>0</v>
      </c>
      <c r="L35" s="133"/>
      <c r="M35" s="133"/>
      <c r="N35" s="133"/>
      <c r="O35" s="133"/>
    </row>
    <row r="36" spans="1:15" ht="15" customHeight="1">
      <c r="A36" s="309"/>
      <c r="B36" s="310"/>
      <c r="C36" s="311"/>
      <c r="D36" s="312" t="s">
        <v>111</v>
      </c>
      <c r="E36" s="31">
        <v>70</v>
      </c>
      <c r="F36" s="32">
        <v>70</v>
      </c>
      <c r="G36" s="31">
        <v>49</v>
      </c>
      <c r="H36" s="33">
        <f t="shared" si="3"/>
        <v>70</v>
      </c>
      <c r="I36" s="34">
        <f t="shared" si="4"/>
        <v>70</v>
      </c>
      <c r="L36" s="133"/>
      <c r="M36" s="133"/>
      <c r="N36" s="133"/>
      <c r="O36" s="133"/>
    </row>
    <row r="37" spans="1:15" ht="15" customHeight="1">
      <c r="A37" s="309"/>
      <c r="B37" s="310"/>
      <c r="C37" s="311"/>
      <c r="D37" s="312" t="s">
        <v>113</v>
      </c>
      <c r="E37" s="31">
        <v>1413</v>
      </c>
      <c r="F37" s="32">
        <v>1979.9</v>
      </c>
      <c r="G37" s="31">
        <v>1112</v>
      </c>
      <c r="H37" s="33">
        <f t="shared" si="3"/>
        <v>78.697806086341117</v>
      </c>
      <c r="I37" s="34">
        <f t="shared" si="4"/>
        <v>56.164452750138892</v>
      </c>
      <c r="L37" s="133"/>
      <c r="M37" s="133"/>
      <c r="N37" s="133"/>
      <c r="O37" s="133"/>
    </row>
    <row r="38" spans="1:15" ht="15" customHeight="1">
      <c r="A38" s="309"/>
      <c r="B38" s="310"/>
      <c r="C38" s="311"/>
      <c r="D38" s="312" t="s">
        <v>103</v>
      </c>
      <c r="E38" s="31">
        <v>40</v>
      </c>
      <c r="F38" s="32">
        <v>40</v>
      </c>
      <c r="G38" s="31">
        <v>40</v>
      </c>
      <c r="H38" s="33">
        <f t="shared" si="3"/>
        <v>100</v>
      </c>
      <c r="I38" s="34">
        <f t="shared" si="4"/>
        <v>100</v>
      </c>
      <c r="L38" s="133"/>
      <c r="M38" s="133"/>
      <c r="N38" s="133"/>
      <c r="O38" s="133"/>
    </row>
    <row r="39" spans="1:15" ht="15" customHeight="1">
      <c r="A39" s="314"/>
      <c r="B39" s="315"/>
      <c r="C39" s="316"/>
      <c r="D39" s="312" t="s">
        <v>180</v>
      </c>
      <c r="E39" s="31">
        <v>65</v>
      </c>
      <c r="F39" s="32">
        <v>214.7</v>
      </c>
      <c r="G39" s="31">
        <v>149</v>
      </c>
      <c r="H39" s="33">
        <f t="shared" si="3"/>
        <v>229.23076923076923</v>
      </c>
      <c r="I39" s="34">
        <f t="shared" si="4"/>
        <v>69.399161620866337</v>
      </c>
      <c r="L39" s="90"/>
    </row>
    <row r="40" spans="1:15" ht="15" customHeight="1">
      <c r="A40" s="314"/>
      <c r="B40" s="315"/>
      <c r="C40" s="316"/>
      <c r="D40" s="317" t="s">
        <v>423</v>
      </c>
      <c r="E40" s="38">
        <v>380</v>
      </c>
      <c r="F40" s="39">
        <v>380</v>
      </c>
      <c r="G40" s="31">
        <v>186</v>
      </c>
      <c r="H40" s="33">
        <f t="shared" si="3"/>
        <v>48.947368421052637</v>
      </c>
      <c r="I40" s="34">
        <f t="shared" si="4"/>
        <v>48.947368421052637</v>
      </c>
      <c r="L40" s="90"/>
    </row>
    <row r="41" spans="1:15" ht="15" customHeight="1">
      <c r="A41" s="314"/>
      <c r="B41" s="318"/>
      <c r="C41" s="319" t="s">
        <v>161</v>
      </c>
      <c r="D41" s="316" t="s">
        <v>241</v>
      </c>
      <c r="E41" s="38">
        <v>50</v>
      </c>
      <c r="F41" s="39">
        <v>30</v>
      </c>
      <c r="G41" s="31">
        <v>0</v>
      </c>
      <c r="H41" s="33">
        <f t="shared" si="3"/>
        <v>0</v>
      </c>
      <c r="I41" s="34">
        <f t="shared" si="4"/>
        <v>0</v>
      </c>
      <c r="L41" s="90"/>
    </row>
    <row r="42" spans="1:15" ht="15" customHeight="1">
      <c r="A42" s="309"/>
      <c r="B42" s="310"/>
      <c r="C42" s="311" t="s">
        <v>161</v>
      </c>
      <c r="D42" s="312" t="s">
        <v>167</v>
      </c>
      <c r="E42" s="31">
        <v>9712</v>
      </c>
      <c r="F42" s="32">
        <v>9712</v>
      </c>
      <c r="G42" s="31">
        <v>8653</v>
      </c>
      <c r="H42" s="33">
        <f t="shared" si="3"/>
        <v>89.095963756177923</v>
      </c>
      <c r="I42" s="34">
        <f t="shared" si="4"/>
        <v>89.095963756177923</v>
      </c>
      <c r="L42" s="90"/>
    </row>
    <row r="43" spans="1:15" ht="15" customHeight="1">
      <c r="A43" s="309"/>
      <c r="B43" s="310" t="s">
        <v>209</v>
      </c>
      <c r="C43" s="311" t="s">
        <v>161</v>
      </c>
      <c r="D43" s="312" t="s">
        <v>162</v>
      </c>
      <c r="E43" s="31">
        <v>281</v>
      </c>
      <c r="F43" s="32">
        <v>301</v>
      </c>
      <c r="G43" s="31">
        <v>297</v>
      </c>
      <c r="H43" s="33">
        <f t="shared" si="3"/>
        <v>105.69395017793595</v>
      </c>
      <c r="I43" s="34">
        <f t="shared" si="4"/>
        <v>98.671096345514954</v>
      </c>
      <c r="L43" s="90"/>
    </row>
    <row r="44" spans="1:15" ht="15" customHeight="1">
      <c r="A44" s="309"/>
      <c r="B44" s="310"/>
      <c r="C44" s="311" t="s">
        <v>161</v>
      </c>
      <c r="D44" s="312" t="s">
        <v>424</v>
      </c>
      <c r="E44" s="31">
        <v>30</v>
      </c>
      <c r="F44" s="32">
        <v>30</v>
      </c>
      <c r="G44" s="31">
        <v>0</v>
      </c>
      <c r="H44" s="33">
        <f t="shared" si="3"/>
        <v>0</v>
      </c>
      <c r="I44" s="34">
        <f t="shared" si="4"/>
        <v>0</v>
      </c>
      <c r="L44" s="90"/>
    </row>
    <row r="45" spans="1:15" ht="15" customHeight="1">
      <c r="A45" s="309"/>
      <c r="B45" s="313"/>
      <c r="C45" s="311"/>
      <c r="D45" s="312"/>
      <c r="E45" s="409"/>
      <c r="F45" s="410"/>
      <c r="G45" s="251"/>
      <c r="H45" s="33"/>
      <c r="I45" s="34"/>
    </row>
    <row r="46" spans="1:15" ht="15" customHeight="1">
      <c r="A46" s="302" t="s">
        <v>258</v>
      </c>
      <c r="B46" s="303" t="s">
        <v>257</v>
      </c>
      <c r="C46" s="304"/>
      <c r="D46" s="305" t="s">
        <v>158</v>
      </c>
      <c r="E46" s="27">
        <f>E47+E48</f>
        <v>190</v>
      </c>
      <c r="F46" s="35">
        <f>F47+F48</f>
        <v>190</v>
      </c>
      <c r="G46" s="27">
        <f>G47+G48</f>
        <v>182</v>
      </c>
      <c r="H46" s="28">
        <f t="shared" si="3"/>
        <v>95.78947368421052</v>
      </c>
      <c r="I46" s="29">
        <f t="shared" si="4"/>
        <v>95.78947368421052</v>
      </c>
      <c r="K46" s="90"/>
    </row>
    <row r="47" spans="1:15" ht="15" customHeight="1">
      <c r="A47" s="309"/>
      <c r="B47" s="322"/>
      <c r="C47" s="311"/>
      <c r="D47" s="323" t="s">
        <v>103</v>
      </c>
      <c r="E47" s="31">
        <v>10</v>
      </c>
      <c r="F47" s="32">
        <v>10</v>
      </c>
      <c r="G47" s="31">
        <v>4</v>
      </c>
      <c r="H47" s="33">
        <f t="shared" si="3"/>
        <v>40</v>
      </c>
      <c r="I47" s="34">
        <f t="shared" si="4"/>
        <v>40</v>
      </c>
    </row>
    <row r="48" spans="1:15" ht="15" customHeight="1" thickBot="1">
      <c r="A48" s="324"/>
      <c r="B48" s="325" t="s">
        <v>195</v>
      </c>
      <c r="C48" s="326" t="s">
        <v>244</v>
      </c>
      <c r="D48" s="327" t="s">
        <v>172</v>
      </c>
      <c r="E48" s="94">
        <v>180</v>
      </c>
      <c r="F48" s="328">
        <v>180</v>
      </c>
      <c r="G48" s="329">
        <v>178</v>
      </c>
      <c r="H48" s="294">
        <f t="shared" si="3"/>
        <v>98.888888888888886</v>
      </c>
      <c r="I48" s="95">
        <f t="shared" si="4"/>
        <v>98.888888888888886</v>
      </c>
    </row>
    <row r="49" spans="1:11" ht="15.75" customHeight="1" thickBot="1">
      <c r="A49" s="330"/>
      <c r="B49" s="331"/>
      <c r="C49" s="332"/>
      <c r="D49" s="333"/>
      <c r="E49" s="334"/>
      <c r="F49" s="335"/>
      <c r="G49" s="152"/>
      <c r="H49" s="152"/>
      <c r="I49" s="6" t="s">
        <v>802</v>
      </c>
    </row>
    <row r="50" spans="1:11" ht="15" customHeight="1">
      <c r="A50" s="220" t="s">
        <v>1</v>
      </c>
      <c r="B50" s="168" t="s">
        <v>2</v>
      </c>
      <c r="C50" s="169" t="s">
        <v>3</v>
      </c>
      <c r="D50" s="298"/>
      <c r="E50" s="8" t="s">
        <v>4</v>
      </c>
      <c r="F50" s="253" t="s">
        <v>312</v>
      </c>
      <c r="G50" s="111" t="s">
        <v>314</v>
      </c>
      <c r="H50" s="8" t="s">
        <v>316</v>
      </c>
      <c r="I50" s="10" t="s">
        <v>316</v>
      </c>
    </row>
    <row r="51" spans="1:11" ht="15" customHeight="1">
      <c r="A51" s="222" t="s">
        <v>5</v>
      </c>
      <c r="B51" s="171" t="s">
        <v>6</v>
      </c>
      <c r="C51" s="172" t="s">
        <v>7</v>
      </c>
      <c r="D51" s="173" t="s">
        <v>8</v>
      </c>
      <c r="E51" s="12" t="s">
        <v>231</v>
      </c>
      <c r="F51" s="255" t="s">
        <v>319</v>
      </c>
      <c r="G51" s="112" t="s">
        <v>315</v>
      </c>
      <c r="H51" s="12" t="s">
        <v>317</v>
      </c>
      <c r="I51" s="14" t="s">
        <v>318</v>
      </c>
    </row>
    <row r="52" spans="1:11" ht="15" customHeight="1" thickBot="1">
      <c r="A52" s="223" t="s">
        <v>9</v>
      </c>
      <c r="B52" s="175" t="s">
        <v>10</v>
      </c>
      <c r="C52" s="176"/>
      <c r="D52" s="299"/>
      <c r="E52" s="15" t="s">
        <v>408</v>
      </c>
      <c r="F52" s="16">
        <v>46022</v>
      </c>
      <c r="G52" s="16">
        <f>F52</f>
        <v>46022</v>
      </c>
      <c r="H52" s="16" t="s">
        <v>211</v>
      </c>
      <c r="I52" s="17" t="s">
        <v>211</v>
      </c>
    </row>
    <row r="53" spans="1:11" ht="15" customHeight="1">
      <c r="A53" s="302" t="s">
        <v>253</v>
      </c>
      <c r="B53" s="304" t="s">
        <v>254</v>
      </c>
      <c r="C53" s="336"/>
      <c r="D53" s="312"/>
      <c r="E53" s="27">
        <f>E54+E57</f>
        <v>40650</v>
      </c>
      <c r="F53" s="35">
        <f>F54+F57</f>
        <v>38076.899999999994</v>
      </c>
      <c r="G53" s="27">
        <f>G54+G57</f>
        <v>37179</v>
      </c>
      <c r="H53" s="28">
        <f>(G53/E53)*100</f>
        <v>91.461254612546128</v>
      </c>
      <c r="I53" s="29">
        <f>(G53/F53)*100</f>
        <v>97.641877358713572</v>
      </c>
      <c r="K53" s="369"/>
    </row>
    <row r="54" spans="1:11" ht="15" customHeight="1">
      <c r="A54" s="314"/>
      <c r="B54" s="350"/>
      <c r="C54" s="321"/>
      <c r="D54" s="305" t="s">
        <v>630</v>
      </c>
      <c r="E54" s="27">
        <f>SUM(E55)</f>
        <v>0</v>
      </c>
      <c r="F54" s="35">
        <f t="shared" ref="F54" si="5">SUM(F55)</f>
        <v>257.2</v>
      </c>
      <c r="G54" s="27">
        <f>SUM(G55)</f>
        <v>257</v>
      </c>
      <c r="H54" s="189" t="s">
        <v>280</v>
      </c>
      <c r="I54" s="29">
        <f t="shared" ref="I54:I55" si="6">(G54/F54)*100</f>
        <v>99.922239502332815</v>
      </c>
    </row>
    <row r="55" spans="1:11" ht="15" customHeight="1">
      <c r="A55" s="314"/>
      <c r="B55" s="350"/>
      <c r="C55" s="321"/>
      <c r="D55" s="312" t="s">
        <v>289</v>
      </c>
      <c r="E55" s="31">
        <v>0</v>
      </c>
      <c r="F55" s="32">
        <v>257.2</v>
      </c>
      <c r="G55" s="31">
        <v>257</v>
      </c>
      <c r="H55" s="202" t="s">
        <v>280</v>
      </c>
      <c r="I55" s="34">
        <f t="shared" si="6"/>
        <v>99.922239502332815</v>
      </c>
    </row>
    <row r="56" spans="1:11" ht="15" customHeight="1">
      <c r="A56" s="302"/>
      <c r="B56" s="304"/>
      <c r="C56" s="336"/>
      <c r="D56" s="345"/>
      <c r="E56" s="344"/>
      <c r="F56" s="850"/>
      <c r="G56" s="344"/>
      <c r="H56" s="28"/>
      <c r="I56" s="29"/>
    </row>
    <row r="57" spans="1:11" ht="15" customHeight="1">
      <c r="A57" s="302"/>
      <c r="B57" s="304"/>
      <c r="C57" s="336"/>
      <c r="D57" s="343" t="s">
        <v>158</v>
      </c>
      <c r="E57" s="344">
        <f>SUM(E58:E67)</f>
        <v>40650</v>
      </c>
      <c r="F57" s="850">
        <f>SUM(F58:F67)</f>
        <v>37819.699999999997</v>
      </c>
      <c r="G57" s="344">
        <f>SUM(G58:G67)</f>
        <v>36922</v>
      </c>
      <c r="H57" s="28">
        <f>(G57/E57)*100</f>
        <v>90.829028290282892</v>
      </c>
      <c r="I57" s="29">
        <f>(G57/F57)*100</f>
        <v>97.626369326039082</v>
      </c>
    </row>
    <row r="58" spans="1:11" ht="15" customHeight="1">
      <c r="A58" s="302"/>
      <c r="B58" s="341"/>
      <c r="C58" s="311"/>
      <c r="D58" s="312" t="s">
        <v>144</v>
      </c>
      <c r="E58" s="31">
        <v>3000</v>
      </c>
      <c r="F58" s="32">
        <v>3000</v>
      </c>
      <c r="G58" s="251">
        <v>2748</v>
      </c>
      <c r="H58" s="33">
        <f t="shared" ref="H58:H64" si="7">(G58/E58)*100</f>
        <v>91.600000000000009</v>
      </c>
      <c r="I58" s="34">
        <f t="shared" ref="I58:I64" si="8">(G58/F58)*100</f>
        <v>91.600000000000009</v>
      </c>
    </row>
    <row r="59" spans="1:11" ht="15" customHeight="1">
      <c r="A59" s="349"/>
      <c r="B59" s="341"/>
      <c r="C59" s="311"/>
      <c r="D59" s="312" t="s">
        <v>112</v>
      </c>
      <c r="E59" s="31">
        <v>350</v>
      </c>
      <c r="F59" s="32">
        <v>220</v>
      </c>
      <c r="G59" s="251">
        <v>172</v>
      </c>
      <c r="H59" s="33">
        <f t="shared" si="7"/>
        <v>49.142857142857146</v>
      </c>
      <c r="I59" s="34">
        <f t="shared" si="8"/>
        <v>78.181818181818187</v>
      </c>
    </row>
    <row r="60" spans="1:11" ht="15" customHeight="1">
      <c r="A60" s="349"/>
      <c r="B60" s="313"/>
      <c r="C60" s="321" t="s">
        <v>255</v>
      </c>
      <c r="D60" s="323" t="s">
        <v>149</v>
      </c>
      <c r="E60" s="192">
        <v>300</v>
      </c>
      <c r="F60" s="32">
        <v>169</v>
      </c>
      <c r="G60" s="193">
        <v>108</v>
      </c>
      <c r="H60" s="33">
        <f t="shared" si="7"/>
        <v>36</v>
      </c>
      <c r="I60" s="34">
        <f t="shared" si="8"/>
        <v>63.905325443786985</v>
      </c>
    </row>
    <row r="61" spans="1:11" ht="15" customHeight="1">
      <c r="A61" s="309"/>
      <c r="B61" s="313"/>
      <c r="C61" s="321" t="s">
        <v>218</v>
      </c>
      <c r="D61" s="323" t="s">
        <v>179</v>
      </c>
      <c r="E61" s="31">
        <v>6700</v>
      </c>
      <c r="F61" s="32">
        <v>6634</v>
      </c>
      <c r="G61" s="251">
        <v>6634</v>
      </c>
      <c r="H61" s="33">
        <f t="shared" si="7"/>
        <v>99.014925373134332</v>
      </c>
      <c r="I61" s="34">
        <f t="shared" si="8"/>
        <v>100</v>
      </c>
    </row>
    <row r="62" spans="1:11" ht="15" customHeight="1">
      <c r="A62" s="309"/>
      <c r="B62" s="341"/>
      <c r="C62" s="311" t="s">
        <v>288</v>
      </c>
      <c r="D62" s="312" t="s">
        <v>289</v>
      </c>
      <c r="E62" s="31">
        <v>2400</v>
      </c>
      <c r="F62" s="32">
        <v>2235</v>
      </c>
      <c r="G62" s="251">
        <v>2220</v>
      </c>
      <c r="H62" s="33">
        <f t="shared" si="7"/>
        <v>92.5</v>
      </c>
      <c r="I62" s="34">
        <f t="shared" si="8"/>
        <v>99.328859060402692</v>
      </c>
    </row>
    <row r="63" spans="1:11" ht="15" customHeight="1">
      <c r="A63" s="349"/>
      <c r="B63" s="341"/>
      <c r="C63" s="311" t="s">
        <v>249</v>
      </c>
      <c r="D63" s="311" t="s">
        <v>115</v>
      </c>
      <c r="E63" s="31">
        <v>400</v>
      </c>
      <c r="F63" s="32">
        <v>56</v>
      </c>
      <c r="G63" s="251">
        <v>55</v>
      </c>
      <c r="H63" s="33">
        <f t="shared" si="7"/>
        <v>13.750000000000002</v>
      </c>
      <c r="I63" s="34">
        <f t="shared" si="8"/>
        <v>98.214285714285708</v>
      </c>
    </row>
    <row r="64" spans="1:11" ht="15" customHeight="1">
      <c r="A64" s="349"/>
      <c r="B64" s="341"/>
      <c r="C64" s="311" t="s">
        <v>219</v>
      </c>
      <c r="D64" s="826" t="s">
        <v>217</v>
      </c>
      <c r="E64" s="31">
        <v>25500</v>
      </c>
      <c r="F64" s="32">
        <v>24130.7</v>
      </c>
      <c r="G64" s="251">
        <v>23721</v>
      </c>
      <c r="H64" s="33">
        <f t="shared" si="7"/>
        <v>93.023529411764699</v>
      </c>
      <c r="I64" s="34">
        <f t="shared" si="8"/>
        <v>98.302162805057463</v>
      </c>
    </row>
    <row r="65" spans="1:11" ht="15" customHeight="1">
      <c r="A65" s="825"/>
      <c r="B65" s="350"/>
      <c r="C65" s="321"/>
      <c r="D65" s="323" t="s">
        <v>103</v>
      </c>
      <c r="E65" s="31">
        <v>250</v>
      </c>
      <c r="F65" s="32">
        <v>70</v>
      </c>
      <c r="G65" s="251">
        <v>59</v>
      </c>
      <c r="H65" s="33">
        <f t="shared" ref="H65:H68" si="9">(G65/E65)*100</f>
        <v>23.599999999999998</v>
      </c>
      <c r="I65" s="34">
        <f t="shared" ref="I65:I67" si="10">(G65/F65)*100</f>
        <v>84.285714285714292</v>
      </c>
    </row>
    <row r="66" spans="1:11" ht="15" customHeight="1">
      <c r="A66" s="314"/>
      <c r="B66" s="350"/>
      <c r="C66" s="321" t="s">
        <v>216</v>
      </c>
      <c r="D66" s="312" t="s">
        <v>549</v>
      </c>
      <c r="E66" s="31">
        <v>1500</v>
      </c>
      <c r="F66" s="32">
        <v>1300</v>
      </c>
      <c r="G66" s="193">
        <v>1201</v>
      </c>
      <c r="H66" s="33">
        <f t="shared" si="9"/>
        <v>80.066666666666663</v>
      </c>
      <c r="I66" s="34">
        <f t="shared" si="10"/>
        <v>92.384615384615387</v>
      </c>
    </row>
    <row r="67" spans="1:11" ht="15" customHeight="1">
      <c r="A67" s="314"/>
      <c r="B67" s="350"/>
      <c r="C67" s="351" t="s">
        <v>612</v>
      </c>
      <c r="D67" s="312" t="s">
        <v>171</v>
      </c>
      <c r="E67" s="31">
        <v>250</v>
      </c>
      <c r="F67" s="32">
        <v>5</v>
      </c>
      <c r="G67" s="193">
        <v>4</v>
      </c>
      <c r="H67" s="33">
        <f t="shared" si="9"/>
        <v>1.6</v>
      </c>
      <c r="I67" s="34">
        <f t="shared" si="10"/>
        <v>80</v>
      </c>
    </row>
    <row r="68" spans="1:11" ht="15" customHeight="1">
      <c r="A68" s="832" t="s">
        <v>425</v>
      </c>
      <c r="B68" s="304" t="s">
        <v>422</v>
      </c>
      <c r="C68" s="336"/>
      <c r="D68" s="828"/>
      <c r="E68" s="848">
        <f>E69+E78</f>
        <v>58445</v>
      </c>
      <c r="F68" s="851">
        <f>F69+F78</f>
        <v>61585.2</v>
      </c>
      <c r="G68" s="848">
        <f>G69+G78</f>
        <v>50061</v>
      </c>
      <c r="H68" s="28">
        <f t="shared" si="9"/>
        <v>85.654889212079738</v>
      </c>
      <c r="I68" s="29">
        <f>(G68/F68)*100</f>
        <v>81.287387229399272</v>
      </c>
      <c r="K68" s="369"/>
    </row>
    <row r="69" spans="1:11" ht="15" customHeight="1">
      <c r="A69" s="314"/>
      <c r="B69" s="315"/>
      <c r="C69" s="316"/>
      <c r="D69" s="305" t="s">
        <v>630</v>
      </c>
      <c r="E69" s="27">
        <v>0</v>
      </c>
      <c r="F69" s="35">
        <f>F70+F71+F72+F73+F74+F75+F76</f>
        <v>870.9</v>
      </c>
      <c r="G69" s="27">
        <f>G70+G71+G72+G73+G74+G75+G76</f>
        <v>1067</v>
      </c>
      <c r="H69" s="189" t="s">
        <v>280</v>
      </c>
      <c r="I69" s="29">
        <f t="shared" ref="I69:I76" si="11">(G69/F69)*100</f>
        <v>122.51693650246871</v>
      </c>
    </row>
    <row r="70" spans="1:11" ht="15" customHeight="1">
      <c r="A70" s="314"/>
      <c r="B70" s="315"/>
      <c r="C70" s="316"/>
      <c r="D70" s="312" t="s">
        <v>144</v>
      </c>
      <c r="E70" s="31">
        <v>0</v>
      </c>
      <c r="F70" s="32">
        <v>270</v>
      </c>
      <c r="G70" s="31">
        <v>270</v>
      </c>
      <c r="H70" s="202" t="s">
        <v>280</v>
      </c>
      <c r="I70" s="34">
        <f t="shared" si="11"/>
        <v>100</v>
      </c>
    </row>
    <row r="71" spans="1:11" ht="15" customHeight="1">
      <c r="A71" s="314"/>
      <c r="B71" s="315"/>
      <c r="C71" s="316"/>
      <c r="D71" s="312" t="s">
        <v>112</v>
      </c>
      <c r="E71" s="31">
        <v>0</v>
      </c>
      <c r="F71" s="32">
        <v>133.80000000000001</v>
      </c>
      <c r="G71" s="31">
        <v>134</v>
      </c>
      <c r="H71" s="202" t="s">
        <v>280</v>
      </c>
      <c r="I71" s="34">
        <f t="shared" si="11"/>
        <v>100.14947683109116</v>
      </c>
    </row>
    <row r="72" spans="1:11" ht="15" customHeight="1">
      <c r="A72" s="314"/>
      <c r="B72" s="315"/>
      <c r="C72" s="316"/>
      <c r="D72" s="345" t="s">
        <v>178</v>
      </c>
      <c r="E72" s="31">
        <v>0</v>
      </c>
      <c r="F72" s="32">
        <v>223.4</v>
      </c>
      <c r="G72" s="31">
        <v>223</v>
      </c>
      <c r="H72" s="202" t="s">
        <v>280</v>
      </c>
      <c r="I72" s="34">
        <f t="shared" si="11"/>
        <v>99.820948970456584</v>
      </c>
    </row>
    <row r="73" spans="1:11" ht="15" customHeight="1">
      <c r="A73" s="314"/>
      <c r="B73" s="315"/>
      <c r="C73" s="316"/>
      <c r="D73" s="312" t="s">
        <v>179</v>
      </c>
      <c r="E73" s="31">
        <v>0</v>
      </c>
      <c r="F73" s="32">
        <v>18.5</v>
      </c>
      <c r="G73" s="31">
        <v>19</v>
      </c>
      <c r="H73" s="202" t="s">
        <v>280</v>
      </c>
      <c r="I73" s="34">
        <f t="shared" si="11"/>
        <v>102.70270270270269</v>
      </c>
    </row>
    <row r="74" spans="1:11" ht="15" customHeight="1">
      <c r="A74" s="314"/>
      <c r="B74" s="315"/>
      <c r="C74" s="316"/>
      <c r="D74" s="312" t="s">
        <v>103</v>
      </c>
      <c r="E74" s="31">
        <v>0</v>
      </c>
      <c r="F74" s="32">
        <v>221.4</v>
      </c>
      <c r="G74" s="31">
        <v>417</v>
      </c>
      <c r="H74" s="202" t="s">
        <v>280</v>
      </c>
      <c r="I74" s="34">
        <f t="shared" si="11"/>
        <v>188.34688346883468</v>
      </c>
    </row>
    <row r="75" spans="1:11" ht="15" customHeight="1">
      <c r="A75" s="314"/>
      <c r="B75" s="315"/>
      <c r="C75" s="316"/>
      <c r="D75" s="312" t="s">
        <v>180</v>
      </c>
      <c r="E75" s="31">
        <v>0</v>
      </c>
      <c r="F75" s="32">
        <v>0.4</v>
      </c>
      <c r="G75" s="31">
        <v>1</v>
      </c>
      <c r="H75" s="202" t="s">
        <v>280</v>
      </c>
      <c r="I75" s="34">
        <f t="shared" si="11"/>
        <v>250</v>
      </c>
    </row>
    <row r="76" spans="1:11" ht="15" customHeight="1">
      <c r="A76" s="309"/>
      <c r="B76" s="322"/>
      <c r="C76" s="311"/>
      <c r="D76" s="312" t="s">
        <v>181</v>
      </c>
      <c r="E76" s="31">
        <v>0</v>
      </c>
      <c r="F76" s="32">
        <v>3.4</v>
      </c>
      <c r="G76" s="31">
        <v>3</v>
      </c>
      <c r="H76" s="202" t="s">
        <v>280</v>
      </c>
      <c r="I76" s="34">
        <f t="shared" si="11"/>
        <v>88.235294117647058</v>
      </c>
    </row>
    <row r="77" spans="1:11" ht="15" customHeight="1">
      <c r="A77" s="844"/>
      <c r="B77" s="831"/>
      <c r="C77" s="831"/>
      <c r="D77" s="828"/>
      <c r="E77" s="12"/>
      <c r="F77" s="852"/>
      <c r="G77" s="513"/>
      <c r="H77" s="829"/>
      <c r="I77" s="14"/>
    </row>
    <row r="78" spans="1:11" ht="15" customHeight="1">
      <c r="A78" s="219"/>
      <c r="B78" s="336"/>
      <c r="C78" s="336"/>
      <c r="D78" s="305" t="s">
        <v>158</v>
      </c>
      <c r="E78" s="27">
        <f>SUM(E79:E95)+SUM(E102:E105)</f>
        <v>58445</v>
      </c>
      <c r="F78" s="35">
        <f t="shared" ref="F78" si="12">SUM(F79:F95)+SUM(F102:F105)</f>
        <v>60714.299999999996</v>
      </c>
      <c r="G78" s="27">
        <f>SUM(G79:G95)+SUM(G102:G105)</f>
        <v>48994</v>
      </c>
      <c r="H78" s="28">
        <f t="shared" ref="H78:H102" si="13">(G78/E78)*100</f>
        <v>83.829241166909057</v>
      </c>
      <c r="I78" s="29">
        <f t="shared" ref="I78:I102" si="14">(G78/F78)*100</f>
        <v>80.695981012710362</v>
      </c>
    </row>
    <row r="79" spans="1:11" ht="15" customHeight="1">
      <c r="A79" s="832"/>
      <c r="B79" s="322"/>
      <c r="C79" s="321" t="s">
        <v>110</v>
      </c>
      <c r="D79" s="312" t="s">
        <v>426</v>
      </c>
      <c r="E79" s="31">
        <v>10</v>
      </c>
      <c r="F79" s="32">
        <v>10</v>
      </c>
      <c r="G79" s="251">
        <v>1</v>
      </c>
      <c r="H79" s="33">
        <f t="shared" si="13"/>
        <v>10</v>
      </c>
      <c r="I79" s="34">
        <f t="shared" si="14"/>
        <v>10</v>
      </c>
    </row>
    <row r="80" spans="1:11" ht="15" customHeight="1">
      <c r="A80" s="309"/>
      <c r="B80" s="322"/>
      <c r="C80" s="321" t="s">
        <v>110</v>
      </c>
      <c r="D80" s="312" t="s">
        <v>173</v>
      </c>
      <c r="E80" s="31">
        <v>30</v>
      </c>
      <c r="F80" s="32">
        <v>30</v>
      </c>
      <c r="G80" s="251">
        <v>16</v>
      </c>
      <c r="H80" s="33">
        <f t="shared" si="13"/>
        <v>53.333333333333336</v>
      </c>
      <c r="I80" s="34">
        <f t="shared" si="14"/>
        <v>53.333333333333336</v>
      </c>
    </row>
    <row r="81" spans="1:9" ht="15" customHeight="1">
      <c r="A81" s="309"/>
      <c r="B81" s="322"/>
      <c r="C81" s="321" t="s">
        <v>110</v>
      </c>
      <c r="D81" s="312" t="s">
        <v>111</v>
      </c>
      <c r="E81" s="31">
        <v>2</v>
      </c>
      <c r="F81" s="32">
        <v>2</v>
      </c>
      <c r="G81" s="251">
        <v>1</v>
      </c>
      <c r="H81" s="33">
        <f t="shared" si="13"/>
        <v>50</v>
      </c>
      <c r="I81" s="34">
        <f t="shared" si="14"/>
        <v>50</v>
      </c>
    </row>
    <row r="82" spans="1:9" ht="15" customHeight="1">
      <c r="A82" s="309"/>
      <c r="B82" s="322"/>
      <c r="C82" s="321"/>
      <c r="D82" s="312" t="s">
        <v>144</v>
      </c>
      <c r="E82" s="31">
        <v>1500</v>
      </c>
      <c r="F82" s="32">
        <v>1800</v>
      </c>
      <c r="G82" s="251">
        <v>1770</v>
      </c>
      <c r="H82" s="33">
        <f t="shared" si="13"/>
        <v>118</v>
      </c>
      <c r="I82" s="34">
        <f t="shared" si="14"/>
        <v>98.333333333333329</v>
      </c>
    </row>
    <row r="83" spans="1:9" ht="15" customHeight="1">
      <c r="A83" s="309"/>
      <c r="B83" s="322"/>
      <c r="C83" s="321"/>
      <c r="D83" s="312" t="s">
        <v>145</v>
      </c>
      <c r="E83" s="31">
        <v>3500</v>
      </c>
      <c r="F83" s="32">
        <v>3283</v>
      </c>
      <c r="G83" s="251">
        <v>2234</v>
      </c>
      <c r="H83" s="33">
        <f t="shared" si="13"/>
        <v>63.828571428571422</v>
      </c>
      <c r="I83" s="34">
        <f t="shared" si="14"/>
        <v>68.047517514468467</v>
      </c>
    </row>
    <row r="84" spans="1:9" ht="15" customHeight="1">
      <c r="A84" s="309"/>
      <c r="B84" s="322"/>
      <c r="C84" s="321"/>
      <c r="D84" s="312" t="s">
        <v>174</v>
      </c>
      <c r="E84" s="31">
        <v>1200</v>
      </c>
      <c r="F84" s="32">
        <v>1227.4000000000001</v>
      </c>
      <c r="G84" s="251">
        <v>869</v>
      </c>
      <c r="H84" s="33">
        <f t="shared" si="13"/>
        <v>72.416666666666657</v>
      </c>
      <c r="I84" s="34">
        <f t="shared" si="14"/>
        <v>70.800065178425925</v>
      </c>
    </row>
    <row r="85" spans="1:9" ht="15" customHeight="1">
      <c r="A85" s="309"/>
      <c r="B85" s="322"/>
      <c r="C85" s="321"/>
      <c r="D85" s="312" t="s">
        <v>175</v>
      </c>
      <c r="E85" s="31">
        <v>1000</v>
      </c>
      <c r="F85" s="32">
        <v>1000</v>
      </c>
      <c r="G85" s="251">
        <v>699</v>
      </c>
      <c r="H85" s="33">
        <f t="shared" si="13"/>
        <v>69.899999999999991</v>
      </c>
      <c r="I85" s="34">
        <f t="shared" si="14"/>
        <v>69.899999999999991</v>
      </c>
    </row>
    <row r="86" spans="1:9" ht="15" customHeight="1">
      <c r="A86" s="309"/>
      <c r="B86" s="322"/>
      <c r="C86" s="321"/>
      <c r="D86" s="312" t="s">
        <v>176</v>
      </c>
      <c r="E86" s="31">
        <v>6500</v>
      </c>
      <c r="F86" s="32">
        <v>6300</v>
      </c>
      <c r="G86" s="251">
        <v>3134</v>
      </c>
      <c r="H86" s="33">
        <f t="shared" si="13"/>
        <v>48.215384615384615</v>
      </c>
      <c r="I86" s="34">
        <f t="shared" si="14"/>
        <v>49.746031746031747</v>
      </c>
    </row>
    <row r="87" spans="1:9" ht="15" customHeight="1">
      <c r="A87" s="309"/>
      <c r="B87" s="322"/>
      <c r="C87" s="321"/>
      <c r="D87" s="312" t="s">
        <v>149</v>
      </c>
      <c r="E87" s="31">
        <v>7000</v>
      </c>
      <c r="F87" s="32">
        <v>7353.1</v>
      </c>
      <c r="G87" s="251">
        <v>5018</v>
      </c>
      <c r="H87" s="33">
        <f t="shared" si="13"/>
        <v>71.685714285714283</v>
      </c>
      <c r="I87" s="34">
        <f t="shared" si="14"/>
        <v>68.243325944159608</v>
      </c>
    </row>
    <row r="88" spans="1:9" ht="15" customHeight="1">
      <c r="A88" s="309"/>
      <c r="B88" s="322"/>
      <c r="C88" s="321"/>
      <c r="D88" s="312" t="s">
        <v>177</v>
      </c>
      <c r="E88" s="31">
        <v>400</v>
      </c>
      <c r="F88" s="32">
        <v>434.8</v>
      </c>
      <c r="G88" s="251">
        <v>268</v>
      </c>
      <c r="H88" s="33">
        <f t="shared" si="13"/>
        <v>67</v>
      </c>
      <c r="I88" s="34">
        <f t="shared" si="14"/>
        <v>61.637534498620049</v>
      </c>
    </row>
    <row r="89" spans="1:9" ht="15" customHeight="1">
      <c r="A89" s="309"/>
      <c r="B89" s="322"/>
      <c r="C89" s="321"/>
      <c r="D89" s="345" t="s">
        <v>178</v>
      </c>
      <c r="E89" s="31">
        <v>7000</v>
      </c>
      <c r="F89" s="32">
        <v>9029.4</v>
      </c>
      <c r="G89" s="251">
        <v>8741</v>
      </c>
      <c r="H89" s="33">
        <f t="shared" si="13"/>
        <v>124.87142857142857</v>
      </c>
      <c r="I89" s="34">
        <f t="shared" si="14"/>
        <v>96.805989323764592</v>
      </c>
    </row>
    <row r="90" spans="1:9" ht="15" customHeight="1">
      <c r="A90" s="309"/>
      <c r="B90" s="322"/>
      <c r="C90" s="321"/>
      <c r="D90" s="312" t="s">
        <v>179</v>
      </c>
      <c r="E90" s="31">
        <v>1200</v>
      </c>
      <c r="F90" s="32">
        <v>1260.3</v>
      </c>
      <c r="G90" s="251">
        <v>934</v>
      </c>
      <c r="H90" s="33">
        <f t="shared" si="13"/>
        <v>77.833333333333329</v>
      </c>
      <c r="I90" s="34">
        <f t="shared" si="14"/>
        <v>74.109339046258825</v>
      </c>
    </row>
    <row r="91" spans="1:9" ht="15" customHeight="1">
      <c r="A91" s="309"/>
      <c r="B91" s="322"/>
      <c r="C91" s="346"/>
      <c r="D91" s="347" t="s">
        <v>104</v>
      </c>
      <c r="E91" s="31">
        <v>220</v>
      </c>
      <c r="F91" s="32">
        <v>226.3</v>
      </c>
      <c r="G91" s="251">
        <v>212</v>
      </c>
      <c r="H91" s="33">
        <f t="shared" si="13"/>
        <v>96.36363636363636</v>
      </c>
      <c r="I91" s="34">
        <f t="shared" si="14"/>
        <v>93.680954485196636</v>
      </c>
    </row>
    <row r="92" spans="1:9" ht="15" customHeight="1">
      <c r="A92" s="309"/>
      <c r="B92" s="322"/>
      <c r="C92" s="311"/>
      <c r="D92" s="345" t="s">
        <v>146</v>
      </c>
      <c r="E92" s="31">
        <v>500</v>
      </c>
      <c r="F92" s="32">
        <v>500</v>
      </c>
      <c r="G92" s="251">
        <v>349</v>
      </c>
      <c r="H92" s="33">
        <f t="shared" si="13"/>
        <v>69.8</v>
      </c>
      <c r="I92" s="34">
        <f t="shared" si="14"/>
        <v>69.8</v>
      </c>
    </row>
    <row r="93" spans="1:9" ht="15" customHeight="1">
      <c r="A93" s="309"/>
      <c r="B93" s="322"/>
      <c r="C93" s="311" t="s">
        <v>161</v>
      </c>
      <c r="D93" s="312" t="s">
        <v>103</v>
      </c>
      <c r="E93" s="31">
        <v>16400</v>
      </c>
      <c r="F93" s="32">
        <v>16380</v>
      </c>
      <c r="G93" s="251">
        <v>14769</v>
      </c>
      <c r="H93" s="33">
        <f t="shared" si="13"/>
        <v>90.054878048780481</v>
      </c>
      <c r="I93" s="34">
        <f t="shared" si="14"/>
        <v>90.164835164835168</v>
      </c>
    </row>
    <row r="94" spans="1:9" ht="15" customHeight="1">
      <c r="A94" s="309"/>
      <c r="B94" s="322"/>
      <c r="C94" s="311"/>
      <c r="D94" s="311" t="s">
        <v>147</v>
      </c>
      <c r="E94" s="31">
        <v>11650</v>
      </c>
      <c r="F94" s="32">
        <v>11525</v>
      </c>
      <c r="G94" s="251">
        <v>9666</v>
      </c>
      <c r="H94" s="63">
        <f t="shared" si="13"/>
        <v>82.969957081545061</v>
      </c>
      <c r="I94" s="34">
        <f t="shared" si="14"/>
        <v>83.869848156182215</v>
      </c>
    </row>
    <row r="95" spans="1:9" ht="15" customHeight="1" thickBot="1">
      <c r="A95" s="324"/>
      <c r="B95" s="845"/>
      <c r="C95" s="846"/>
      <c r="D95" s="846" t="s">
        <v>180</v>
      </c>
      <c r="E95" s="94">
        <v>60</v>
      </c>
      <c r="F95" s="328">
        <v>80</v>
      </c>
      <c r="G95" s="329">
        <v>77</v>
      </c>
      <c r="H95" s="847">
        <f t="shared" si="13"/>
        <v>128.33333333333334</v>
      </c>
      <c r="I95" s="95">
        <f t="shared" si="14"/>
        <v>96.25</v>
      </c>
    </row>
    <row r="96" spans="1:9" ht="15" customHeight="1">
      <c r="A96" s="839"/>
      <c r="B96" s="840"/>
      <c r="C96" s="841"/>
      <c r="D96" s="841"/>
      <c r="E96" s="369"/>
      <c r="F96" s="842"/>
      <c r="G96" s="843"/>
      <c r="H96" s="295"/>
      <c r="I96" s="98"/>
    </row>
    <row r="97" spans="1:9" ht="15" customHeight="1" thickBot="1">
      <c r="A97" s="839"/>
      <c r="B97" s="840"/>
      <c r="C97" s="841"/>
      <c r="D97" s="841"/>
      <c r="E97" s="369"/>
      <c r="F97" s="842"/>
      <c r="G97" s="843"/>
      <c r="H97" s="295"/>
      <c r="I97" s="6" t="s">
        <v>801</v>
      </c>
    </row>
    <row r="98" spans="1:9" ht="15" customHeight="1">
      <c r="A98" s="220" t="s">
        <v>1</v>
      </c>
      <c r="B98" s="168" t="s">
        <v>2</v>
      </c>
      <c r="C98" s="169" t="s">
        <v>3</v>
      </c>
      <c r="D98" s="298"/>
      <c r="E98" s="8" t="s">
        <v>4</v>
      </c>
      <c r="F98" s="853" t="s">
        <v>312</v>
      </c>
      <c r="G98" s="111" t="s">
        <v>314</v>
      </c>
      <c r="H98" s="8" t="s">
        <v>316</v>
      </c>
      <c r="I98" s="10" t="s">
        <v>316</v>
      </c>
    </row>
    <row r="99" spans="1:9" ht="15" customHeight="1">
      <c r="A99" s="222" t="s">
        <v>5</v>
      </c>
      <c r="B99" s="171" t="s">
        <v>6</v>
      </c>
      <c r="C99" s="172" t="s">
        <v>7</v>
      </c>
      <c r="D99" s="173" t="s">
        <v>8</v>
      </c>
      <c r="E99" s="12" t="s">
        <v>231</v>
      </c>
      <c r="F99" s="852" t="s">
        <v>319</v>
      </c>
      <c r="G99" s="112" t="s">
        <v>315</v>
      </c>
      <c r="H99" s="12" t="s">
        <v>317</v>
      </c>
      <c r="I99" s="14" t="s">
        <v>318</v>
      </c>
    </row>
    <row r="100" spans="1:9" ht="15" customHeight="1" thickBot="1">
      <c r="A100" s="223" t="s">
        <v>9</v>
      </c>
      <c r="B100" s="175" t="s">
        <v>10</v>
      </c>
      <c r="C100" s="176"/>
      <c r="D100" s="299"/>
      <c r="E100" s="15" t="s">
        <v>408</v>
      </c>
      <c r="F100" s="16">
        <v>46022</v>
      </c>
      <c r="G100" s="16">
        <f>F100</f>
        <v>46022</v>
      </c>
      <c r="H100" s="16" t="s">
        <v>211</v>
      </c>
      <c r="I100" s="17" t="s">
        <v>211</v>
      </c>
    </row>
    <row r="101" spans="1:9" ht="15" customHeight="1">
      <c r="A101" s="832" t="s">
        <v>425</v>
      </c>
      <c r="B101" s="304" t="s">
        <v>422</v>
      </c>
      <c r="C101" s="336"/>
      <c r="D101" s="312"/>
      <c r="E101" s="31"/>
      <c r="F101" s="32"/>
      <c r="G101" s="251"/>
      <c r="H101" s="33"/>
      <c r="I101" s="34"/>
    </row>
    <row r="102" spans="1:9" ht="15" customHeight="1">
      <c r="A102" s="309"/>
      <c r="B102" s="322"/>
      <c r="C102" s="311"/>
      <c r="D102" s="312" t="s">
        <v>181</v>
      </c>
      <c r="E102" s="31">
        <v>250</v>
      </c>
      <c r="F102" s="32">
        <v>250</v>
      </c>
      <c r="G102" s="251">
        <v>225</v>
      </c>
      <c r="H102" s="33">
        <f t="shared" si="13"/>
        <v>90</v>
      </c>
      <c r="I102" s="34">
        <f t="shared" si="14"/>
        <v>90</v>
      </c>
    </row>
    <row r="103" spans="1:9" ht="15" customHeight="1">
      <c r="A103" s="309"/>
      <c r="B103" s="322"/>
      <c r="C103" s="311" t="s">
        <v>182</v>
      </c>
      <c r="D103" s="312" t="s">
        <v>183</v>
      </c>
      <c r="E103" s="31">
        <v>5</v>
      </c>
      <c r="F103" s="32">
        <v>5</v>
      </c>
      <c r="G103" s="251">
        <v>0</v>
      </c>
      <c r="H103" s="33">
        <f t="shared" ref="H103:H105" si="15">(G103/E103)*100</f>
        <v>0</v>
      </c>
      <c r="I103" s="34">
        <f t="shared" ref="I103" si="16">(G103/F103)*100</f>
        <v>0</v>
      </c>
    </row>
    <row r="104" spans="1:9" ht="15" customHeight="1">
      <c r="A104" s="309"/>
      <c r="B104" s="322"/>
      <c r="C104" s="311"/>
      <c r="D104" s="312" t="s">
        <v>184</v>
      </c>
      <c r="E104" s="31">
        <v>3</v>
      </c>
      <c r="F104" s="32">
        <v>0</v>
      </c>
      <c r="G104" s="251">
        <v>0</v>
      </c>
      <c r="H104" s="33">
        <f t="shared" si="15"/>
        <v>0</v>
      </c>
      <c r="I104" s="64" t="s">
        <v>280</v>
      </c>
    </row>
    <row r="105" spans="1:9" ht="15" customHeight="1">
      <c r="A105" s="309"/>
      <c r="B105" s="348"/>
      <c r="C105" s="311"/>
      <c r="D105" s="312" t="s">
        <v>185</v>
      </c>
      <c r="E105" s="31">
        <v>15</v>
      </c>
      <c r="F105" s="32">
        <v>18</v>
      </c>
      <c r="G105" s="101">
        <v>11</v>
      </c>
      <c r="H105" s="33">
        <f t="shared" si="15"/>
        <v>73.333333333333329</v>
      </c>
      <c r="I105" s="34">
        <f t="shared" ref="I105" si="17">(G105/F105)*100</f>
        <v>61.111111111111114</v>
      </c>
    </row>
    <row r="106" spans="1:9" ht="15" customHeight="1">
      <c r="A106" s="830"/>
      <c r="B106" s="337"/>
      <c r="C106" s="340"/>
      <c r="D106" s="338"/>
      <c r="E106" s="31"/>
      <c r="F106" s="32"/>
      <c r="G106" s="251"/>
      <c r="H106" s="33"/>
      <c r="I106" s="34"/>
    </row>
    <row r="107" spans="1:9" ht="15" customHeight="1">
      <c r="A107" s="302" t="s">
        <v>196</v>
      </c>
      <c r="B107" s="303" t="s">
        <v>197</v>
      </c>
      <c r="C107" s="304"/>
      <c r="D107" s="305"/>
      <c r="E107" s="27">
        <f>E108</f>
        <v>2480</v>
      </c>
      <c r="F107" s="35">
        <f>F108</f>
        <v>3180.7</v>
      </c>
      <c r="G107" s="27">
        <f>G108</f>
        <v>2976</v>
      </c>
      <c r="H107" s="28">
        <f t="shared" ref="H107:H108" si="18">(G107/E107)*100</f>
        <v>120</v>
      </c>
      <c r="I107" s="29">
        <f t="shared" ref="I107:I116" si="19">(G107/F107)*100</f>
        <v>93.56430974313831</v>
      </c>
    </row>
    <row r="108" spans="1:9" ht="15" customHeight="1">
      <c r="A108" s="302"/>
      <c r="B108" s="348"/>
      <c r="C108" s="321" t="s">
        <v>613</v>
      </c>
      <c r="D108" s="380" t="s">
        <v>158</v>
      </c>
      <c r="E108" s="38">
        <v>2480</v>
      </c>
      <c r="F108" s="39">
        <v>3180.7</v>
      </c>
      <c r="G108" s="785">
        <v>2976</v>
      </c>
      <c r="H108" s="41">
        <f t="shared" si="18"/>
        <v>120</v>
      </c>
      <c r="I108" s="42">
        <f t="shared" si="19"/>
        <v>93.56430974313831</v>
      </c>
    </row>
    <row r="109" spans="1:9" ht="15" customHeight="1">
      <c r="A109" s="830"/>
      <c r="B109" s="337"/>
      <c r="C109" s="340"/>
      <c r="D109" s="338"/>
      <c r="E109" s="31"/>
      <c r="F109" s="32"/>
      <c r="G109" s="251"/>
      <c r="H109" s="33"/>
      <c r="I109" s="42"/>
    </row>
    <row r="110" spans="1:9" ht="15" customHeight="1">
      <c r="A110" s="302" t="s">
        <v>194</v>
      </c>
      <c r="B110" s="303" t="s">
        <v>198</v>
      </c>
      <c r="C110" s="304"/>
      <c r="D110" s="338"/>
      <c r="E110" s="31"/>
      <c r="F110" s="32"/>
      <c r="G110" s="251"/>
      <c r="H110" s="33"/>
      <c r="I110" s="42"/>
    </row>
    <row r="111" spans="1:9" ht="15" customHeight="1">
      <c r="A111" s="830"/>
      <c r="B111" s="337"/>
      <c r="C111" s="340"/>
      <c r="D111" s="305" t="s">
        <v>158</v>
      </c>
      <c r="E111" s="27">
        <v>1000</v>
      </c>
      <c r="F111" s="35">
        <f>F112+F113+F114</f>
        <v>925</v>
      </c>
      <c r="G111" s="27">
        <f>G112+G113+G114</f>
        <v>666</v>
      </c>
      <c r="H111" s="28">
        <f t="shared" ref="H111:H116" si="20">(G111/E111)*100</f>
        <v>66.600000000000009</v>
      </c>
      <c r="I111" s="519">
        <f t="shared" si="19"/>
        <v>72</v>
      </c>
    </row>
    <row r="112" spans="1:9" ht="15" customHeight="1">
      <c r="A112" s="830"/>
      <c r="B112" s="337"/>
      <c r="C112" s="340"/>
      <c r="D112" s="338" t="s">
        <v>821</v>
      </c>
      <c r="E112" s="31">
        <v>700</v>
      </c>
      <c r="F112" s="32">
        <v>54.6</v>
      </c>
      <c r="G112" s="251">
        <v>55</v>
      </c>
      <c r="H112" s="33">
        <f t="shared" si="20"/>
        <v>7.8571428571428568</v>
      </c>
      <c r="I112" s="42">
        <f t="shared" si="19"/>
        <v>100.73260073260073</v>
      </c>
    </row>
    <row r="113" spans="1:12" ht="15" customHeight="1">
      <c r="A113" s="320"/>
      <c r="B113" s="337"/>
      <c r="C113" s="340"/>
      <c r="D113" s="323" t="s">
        <v>103</v>
      </c>
      <c r="E113" s="31">
        <v>300</v>
      </c>
      <c r="F113" s="32">
        <v>745.4</v>
      </c>
      <c r="G113" s="251">
        <v>486</v>
      </c>
      <c r="H113" s="33">
        <f t="shared" si="20"/>
        <v>162</v>
      </c>
      <c r="I113" s="42">
        <f t="shared" si="19"/>
        <v>65.199892675073784</v>
      </c>
    </row>
    <row r="114" spans="1:12" ht="15" customHeight="1">
      <c r="A114" s="339"/>
      <c r="B114" s="341"/>
      <c r="C114" s="340"/>
      <c r="D114" s="342" t="s">
        <v>775</v>
      </c>
      <c r="E114" s="101">
        <v>0</v>
      </c>
      <c r="F114" s="854">
        <v>125</v>
      </c>
      <c r="G114" s="241">
        <v>125</v>
      </c>
      <c r="H114" s="202" t="s">
        <v>280</v>
      </c>
      <c r="I114" s="42">
        <f t="shared" si="19"/>
        <v>100</v>
      </c>
    </row>
    <row r="115" spans="1:12" ht="15" customHeight="1" thickBot="1">
      <c r="A115" s="833"/>
      <c r="B115" s="834"/>
      <c r="C115" s="835"/>
      <c r="D115" s="836"/>
      <c r="E115" s="426"/>
      <c r="F115" s="837"/>
      <c r="G115" s="838"/>
      <c r="H115" s="41"/>
      <c r="I115" s="42"/>
    </row>
    <row r="116" spans="1:12" ht="17.100000000000001" customHeight="1" thickBot="1">
      <c r="A116" s="352" t="s">
        <v>16</v>
      </c>
      <c r="B116" s="394"/>
      <c r="C116" s="353"/>
      <c r="D116" s="381"/>
      <c r="E116" s="786">
        <f>E7+E46+E53+E68+E108+E111</f>
        <v>415073</v>
      </c>
      <c r="F116" s="849">
        <f>F7+F46+F53+F68+F108+F111</f>
        <v>439978.20000000007</v>
      </c>
      <c r="G116" s="786">
        <f>G7+G46+G53+G68+G108+G111</f>
        <v>395393.8</v>
      </c>
      <c r="H116" s="740">
        <f t="shared" si="20"/>
        <v>95.258858080385849</v>
      </c>
      <c r="I116" s="541">
        <f t="shared" si="19"/>
        <v>89.866679758224365</v>
      </c>
      <c r="J116" s="90"/>
      <c r="K116" s="858"/>
    </row>
    <row r="117" spans="1:12" ht="15.75">
      <c r="A117" s="110"/>
      <c r="E117" s="90"/>
      <c r="F117" s="151"/>
      <c r="G117" s="150"/>
      <c r="I117" s="884"/>
      <c r="L117" s="90"/>
    </row>
    <row r="118" spans="1:12" ht="15.75" thickBot="1">
      <c r="F118" s="151"/>
      <c r="G118" s="150"/>
      <c r="I118" s="6"/>
    </row>
    <row r="119" spans="1:12">
      <c r="A119" s="7" t="s">
        <v>1</v>
      </c>
      <c r="B119" s="8" t="s">
        <v>2</v>
      </c>
      <c r="C119" s="45" t="s">
        <v>3</v>
      </c>
      <c r="D119" s="9"/>
      <c r="E119" s="8" t="s">
        <v>4</v>
      </c>
      <c r="F119" s="253" t="s">
        <v>312</v>
      </c>
      <c r="G119" s="8" t="s">
        <v>314</v>
      </c>
      <c r="H119" s="8" t="s">
        <v>316</v>
      </c>
      <c r="I119" s="10" t="s">
        <v>316</v>
      </c>
    </row>
    <row r="120" spans="1:12">
      <c r="A120" s="11" t="s">
        <v>5</v>
      </c>
      <c r="B120" s="12" t="s">
        <v>6</v>
      </c>
      <c r="C120" s="46" t="s">
        <v>7</v>
      </c>
      <c r="D120" s="13" t="s">
        <v>8</v>
      </c>
      <c r="E120" s="12" t="s">
        <v>231</v>
      </c>
      <c r="F120" s="255" t="s">
        <v>319</v>
      </c>
      <c r="G120" s="12" t="s">
        <v>315</v>
      </c>
      <c r="H120" s="12" t="s">
        <v>317</v>
      </c>
      <c r="I120" s="14" t="s">
        <v>318</v>
      </c>
    </row>
    <row r="121" spans="1:12" ht="15.75" thickBot="1">
      <c r="A121" s="47" t="s">
        <v>9</v>
      </c>
      <c r="B121" s="15" t="s">
        <v>10</v>
      </c>
      <c r="C121" s="48"/>
      <c r="D121" s="49"/>
      <c r="E121" s="15" t="s">
        <v>408</v>
      </c>
      <c r="F121" s="16">
        <v>46022</v>
      </c>
      <c r="G121" s="16">
        <f>F121</f>
        <v>46022</v>
      </c>
      <c r="H121" s="16" t="s">
        <v>211</v>
      </c>
      <c r="I121" s="17" t="s">
        <v>211</v>
      </c>
    </row>
    <row r="122" spans="1:12" ht="16.5" thickBot="1">
      <c r="A122" s="113" t="s">
        <v>320</v>
      </c>
      <c r="B122" s="395"/>
      <c r="C122" s="396"/>
      <c r="D122" s="397"/>
      <c r="E122" s="398"/>
      <c r="F122" s="399"/>
      <c r="G122" s="400"/>
      <c r="H122" s="395"/>
      <c r="I122" s="401"/>
    </row>
    <row r="123" spans="1:12">
      <c r="A123" s="808" t="s">
        <v>253</v>
      </c>
      <c r="B123" s="809" t="s">
        <v>364</v>
      </c>
      <c r="C123" s="809"/>
      <c r="D123" s="809"/>
      <c r="E123" s="821">
        <f>SUM(E124:E132)</f>
        <v>17300</v>
      </c>
      <c r="F123" s="810">
        <f>SUM(F124:F132)</f>
        <v>20130.3</v>
      </c>
      <c r="G123" s="821">
        <f>SUM(G124:G132)</f>
        <v>11986</v>
      </c>
      <c r="H123" s="883">
        <f>G123/E123*100</f>
        <v>69.283236994219649</v>
      </c>
      <c r="I123" s="811">
        <f>(G123/F123)*100</f>
        <v>59.542083327123798</v>
      </c>
    </row>
    <row r="124" spans="1:12">
      <c r="A124" s="354">
        <v>911</v>
      </c>
      <c r="B124" s="355" t="s">
        <v>386</v>
      </c>
      <c r="C124" s="292" t="s">
        <v>450</v>
      </c>
      <c r="D124" s="193" t="s">
        <v>158</v>
      </c>
      <c r="E124" s="251">
        <v>2400</v>
      </c>
      <c r="F124" s="382">
        <v>2400</v>
      </c>
      <c r="G124" s="251">
        <v>0</v>
      </c>
      <c r="H124" s="63">
        <f t="shared" ref="H124" si="21">(G124/E124)*100</f>
        <v>0</v>
      </c>
      <c r="I124" s="34">
        <f t="shared" ref="I124" si="22">(G124/F124)*100</f>
        <v>0</v>
      </c>
    </row>
    <row r="125" spans="1:12">
      <c r="A125" s="354">
        <v>911</v>
      </c>
      <c r="B125" s="355" t="s">
        <v>761</v>
      </c>
      <c r="C125" s="292" t="s">
        <v>762</v>
      </c>
      <c r="D125" s="193" t="s">
        <v>158</v>
      </c>
      <c r="E125" s="251">
        <v>0</v>
      </c>
      <c r="F125" s="382">
        <v>157.5</v>
      </c>
      <c r="G125" s="251">
        <v>0</v>
      </c>
      <c r="H125" s="62" t="s">
        <v>280</v>
      </c>
      <c r="I125" s="34">
        <f t="shared" ref="I125:I132" si="23">(G125/F125)*100</f>
        <v>0</v>
      </c>
    </row>
    <row r="126" spans="1:12">
      <c r="A126" s="354">
        <v>911</v>
      </c>
      <c r="B126" s="355" t="s">
        <v>452</v>
      </c>
      <c r="C126" s="292" t="s">
        <v>451</v>
      </c>
      <c r="D126" s="193" t="s">
        <v>158</v>
      </c>
      <c r="E126" s="251">
        <v>0</v>
      </c>
      <c r="F126" s="382">
        <v>99.6</v>
      </c>
      <c r="G126" s="164">
        <v>99</v>
      </c>
      <c r="H126" s="62" t="s">
        <v>280</v>
      </c>
      <c r="I126" s="34">
        <f t="shared" si="23"/>
        <v>99.397590361445793</v>
      </c>
    </row>
    <row r="127" spans="1:12">
      <c r="A127" s="354">
        <v>911</v>
      </c>
      <c r="B127" s="355" t="s">
        <v>763</v>
      </c>
      <c r="C127" s="292" t="s">
        <v>764</v>
      </c>
      <c r="D127" s="193" t="s">
        <v>158</v>
      </c>
      <c r="E127" s="251">
        <v>0</v>
      </c>
      <c r="F127" s="159">
        <v>108.2</v>
      </c>
      <c r="G127" s="164">
        <v>108</v>
      </c>
      <c r="H127" s="62" t="s">
        <v>280</v>
      </c>
      <c r="I127" s="34">
        <f t="shared" si="23"/>
        <v>99.815157116451019</v>
      </c>
    </row>
    <row r="128" spans="1:12">
      <c r="A128" s="354">
        <v>911</v>
      </c>
      <c r="B128" s="355" t="s">
        <v>765</v>
      </c>
      <c r="C128" s="292" t="s">
        <v>766</v>
      </c>
      <c r="D128" s="193" t="s">
        <v>158</v>
      </c>
      <c r="E128" s="251">
        <v>0</v>
      </c>
      <c r="F128" s="159">
        <v>2061</v>
      </c>
      <c r="G128" s="164">
        <v>0</v>
      </c>
      <c r="H128" s="62" t="s">
        <v>280</v>
      </c>
      <c r="I128" s="34">
        <f t="shared" si="23"/>
        <v>0</v>
      </c>
    </row>
    <row r="129" spans="1:11">
      <c r="A129" s="354">
        <v>911</v>
      </c>
      <c r="B129" s="355" t="s">
        <v>767</v>
      </c>
      <c r="C129" s="292" t="s">
        <v>768</v>
      </c>
      <c r="D129" s="193" t="s">
        <v>158</v>
      </c>
      <c r="E129" s="251">
        <v>0</v>
      </c>
      <c r="F129" s="159">
        <v>404</v>
      </c>
      <c r="G129" s="164">
        <v>404</v>
      </c>
      <c r="H129" s="62" t="s">
        <v>280</v>
      </c>
      <c r="I129" s="34">
        <f t="shared" si="23"/>
        <v>100</v>
      </c>
    </row>
    <row r="130" spans="1:11">
      <c r="A130" s="354">
        <v>911</v>
      </c>
      <c r="B130" s="431" t="s">
        <v>890</v>
      </c>
      <c r="C130" s="292" t="s">
        <v>888</v>
      </c>
      <c r="D130" s="193" t="s">
        <v>158</v>
      </c>
      <c r="E130" s="251">
        <v>0</v>
      </c>
      <c r="F130" s="159">
        <v>350</v>
      </c>
      <c r="G130" s="164">
        <v>0</v>
      </c>
      <c r="H130" s="62" t="s">
        <v>280</v>
      </c>
      <c r="I130" s="34">
        <f t="shared" si="23"/>
        <v>0</v>
      </c>
    </row>
    <row r="131" spans="1:11">
      <c r="A131" s="354">
        <v>911</v>
      </c>
      <c r="B131" s="431" t="s">
        <v>889</v>
      </c>
      <c r="C131" s="292" t="s">
        <v>370</v>
      </c>
      <c r="D131" s="193" t="s">
        <v>158</v>
      </c>
      <c r="E131" s="251">
        <v>12500</v>
      </c>
      <c r="F131" s="159">
        <v>12150</v>
      </c>
      <c r="G131" s="164">
        <v>11375</v>
      </c>
      <c r="H131" s="63">
        <f t="shared" ref="H131:H132" si="24">(G131/E131)*100</f>
        <v>91</v>
      </c>
      <c r="I131" s="34">
        <f t="shared" si="23"/>
        <v>93.621399176954739</v>
      </c>
    </row>
    <row r="132" spans="1:11">
      <c r="A132" s="354">
        <v>911</v>
      </c>
      <c r="B132" s="431" t="s">
        <v>385</v>
      </c>
      <c r="C132" s="292" t="s">
        <v>371</v>
      </c>
      <c r="D132" s="193" t="s">
        <v>158</v>
      </c>
      <c r="E132" s="251">
        <v>2400</v>
      </c>
      <c r="F132" s="382">
        <v>2400</v>
      </c>
      <c r="G132" s="251">
        <v>0</v>
      </c>
      <c r="H132" s="63">
        <f t="shared" si="24"/>
        <v>0</v>
      </c>
      <c r="I132" s="34">
        <f t="shared" si="23"/>
        <v>0</v>
      </c>
    </row>
    <row r="133" spans="1:11">
      <c r="A133" s="354"/>
      <c r="B133" s="355"/>
      <c r="C133" s="292"/>
      <c r="D133" s="193"/>
      <c r="E133" s="251"/>
      <c r="F133" s="382"/>
      <c r="G133" s="251"/>
      <c r="H133" s="63"/>
      <c r="I133" s="34"/>
    </row>
    <row r="134" spans="1:11">
      <c r="A134" s="163" t="s">
        <v>425</v>
      </c>
      <c r="B134" s="154" t="s">
        <v>422</v>
      </c>
      <c r="C134" s="154"/>
      <c r="D134" s="154"/>
      <c r="E134" s="57">
        <f>E135</f>
        <v>400</v>
      </c>
      <c r="F134" s="58">
        <f>F135</f>
        <v>400</v>
      </c>
      <c r="G134" s="57">
        <f>G135</f>
        <v>0</v>
      </c>
      <c r="H134" s="775">
        <f t="shared" ref="H134:H139" si="25">(G134/E134)*100</f>
        <v>0</v>
      </c>
      <c r="I134" s="29">
        <f t="shared" ref="I134:I139" si="26">(G134/F134)*100</f>
        <v>0</v>
      </c>
    </row>
    <row r="135" spans="1:11">
      <c r="A135" s="290" t="s">
        <v>425</v>
      </c>
      <c r="B135" s="59" t="s">
        <v>449</v>
      </c>
      <c r="C135" s="292" t="s">
        <v>448</v>
      </c>
      <c r="D135" s="193" t="s">
        <v>158</v>
      </c>
      <c r="E135" s="60">
        <v>400</v>
      </c>
      <c r="F135" s="61">
        <v>400</v>
      </c>
      <c r="G135" s="251">
        <v>0</v>
      </c>
      <c r="H135" s="63">
        <f t="shared" si="25"/>
        <v>0</v>
      </c>
      <c r="I135" s="34">
        <f t="shared" si="26"/>
        <v>0</v>
      </c>
    </row>
    <row r="136" spans="1:11" ht="15.75" thickBot="1">
      <c r="A136" s="356"/>
      <c r="B136" s="357"/>
      <c r="C136" s="358"/>
      <c r="D136" s="358"/>
      <c r="E136" s="776"/>
      <c r="F136" s="777"/>
      <c r="G136" s="776"/>
      <c r="H136" s="778"/>
      <c r="I136" s="779"/>
    </row>
    <row r="137" spans="1:11" ht="16.5" thickBot="1">
      <c r="A137" s="218" t="s">
        <v>322</v>
      </c>
      <c r="B137" s="108"/>
      <c r="C137" s="108"/>
      <c r="D137" s="108"/>
      <c r="E137" s="535">
        <f>E123+E134</f>
        <v>17700</v>
      </c>
      <c r="F137" s="536">
        <f>F123+F134</f>
        <v>20530.3</v>
      </c>
      <c r="G137" s="535">
        <f>G123+G134</f>
        <v>11986</v>
      </c>
      <c r="H137" s="781">
        <f t="shared" si="25"/>
        <v>67.717514124293785</v>
      </c>
      <c r="I137" s="541">
        <f t="shared" si="26"/>
        <v>58.382001237195759</v>
      </c>
      <c r="K137" s="857"/>
    </row>
    <row r="138" spans="1:11" ht="16.5" thickBot="1">
      <c r="A138" s="68"/>
      <c r="B138" s="68"/>
      <c r="C138" s="68"/>
      <c r="D138" s="68"/>
      <c r="E138" s="68"/>
      <c r="F138" s="487"/>
      <c r="G138" s="860"/>
      <c r="H138" s="782"/>
      <c r="I138" s="783"/>
    </row>
    <row r="139" spans="1:11" ht="16.5" thickBot="1">
      <c r="A139" s="105" t="s">
        <v>366</v>
      </c>
      <c r="B139" s="106"/>
      <c r="C139" s="107"/>
      <c r="D139" s="108"/>
      <c r="E139" s="535">
        <f>E116+E137</f>
        <v>432773</v>
      </c>
      <c r="F139" s="536">
        <f>F116+F137</f>
        <v>460508.50000000006</v>
      </c>
      <c r="G139" s="535">
        <f>G116+G137</f>
        <v>407379.8</v>
      </c>
      <c r="H139" s="780">
        <f t="shared" si="25"/>
        <v>94.132443567412935</v>
      </c>
      <c r="I139" s="784">
        <f t="shared" si="26"/>
        <v>88.463035970020087</v>
      </c>
      <c r="K139" s="857"/>
    </row>
    <row r="140" spans="1:11" ht="15.75">
      <c r="G140" s="150"/>
      <c r="K140" s="859"/>
    </row>
    <row r="146" spans="4:4">
      <c r="D146" t="s">
        <v>110</v>
      </c>
    </row>
  </sheetData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07E1-5504-4E09-A451-3548F95E90B6}">
  <sheetPr>
    <pageSetUpPr fitToPage="1"/>
  </sheetPr>
  <dimension ref="A1:M34"/>
  <sheetViews>
    <sheetView zoomScaleNormal="100" workbookViewId="0">
      <selection activeCell="C42" sqref="C42"/>
    </sheetView>
  </sheetViews>
  <sheetFormatPr defaultRowHeight="15"/>
  <cols>
    <col min="1" max="1" width="11" customWidth="1"/>
    <col min="2" max="2" width="14.5703125" customWidth="1"/>
    <col min="3" max="3" width="36" customWidth="1"/>
    <col min="4" max="4" width="50.7109375" customWidth="1"/>
    <col min="5" max="7" width="14.7109375" customWidth="1"/>
    <col min="8" max="8" width="9.85546875" customWidth="1"/>
    <col min="9" max="9" width="10.42578125" customWidth="1"/>
    <col min="12" max="13" width="11.7109375" customWidth="1"/>
  </cols>
  <sheetData>
    <row r="1" spans="1:13">
      <c r="A1" s="134"/>
      <c r="B1" s="134"/>
      <c r="C1" s="134"/>
      <c r="D1" s="134"/>
    </row>
    <row r="2" spans="1:13" ht="15.75">
      <c r="A2" s="1004" t="s">
        <v>186</v>
      </c>
      <c r="B2" s="1005"/>
      <c r="C2" s="1005"/>
      <c r="D2" s="1005"/>
    </row>
    <row r="3" spans="1:13" ht="15.75" thickBot="1">
      <c r="A3" s="134"/>
      <c r="B3" s="134"/>
      <c r="C3" s="134"/>
      <c r="D3" s="134"/>
      <c r="G3" s="6"/>
      <c r="I3" s="6" t="s">
        <v>800</v>
      </c>
    </row>
    <row r="4" spans="1:13">
      <c r="A4" s="135" t="s">
        <v>1</v>
      </c>
      <c r="B4" s="136" t="s">
        <v>2</v>
      </c>
      <c r="C4" s="137" t="s">
        <v>3</v>
      </c>
      <c r="D4" s="138"/>
      <c r="E4" s="8" t="s">
        <v>4</v>
      </c>
      <c r="F4" s="8" t="s">
        <v>312</v>
      </c>
      <c r="G4" s="111" t="s">
        <v>314</v>
      </c>
      <c r="H4" s="8" t="s">
        <v>316</v>
      </c>
      <c r="I4" s="10" t="s">
        <v>316</v>
      </c>
    </row>
    <row r="5" spans="1:13">
      <c r="A5" s="140" t="s">
        <v>5</v>
      </c>
      <c r="B5" s="141" t="s">
        <v>6</v>
      </c>
      <c r="C5" s="142" t="s">
        <v>7</v>
      </c>
      <c r="D5" s="143" t="s">
        <v>8</v>
      </c>
      <c r="E5" s="12" t="s">
        <v>231</v>
      </c>
      <c r="F5" s="12" t="s">
        <v>319</v>
      </c>
      <c r="G5" s="112" t="s">
        <v>315</v>
      </c>
      <c r="H5" s="12" t="s">
        <v>317</v>
      </c>
      <c r="I5" s="14" t="s">
        <v>318</v>
      </c>
    </row>
    <row r="6" spans="1:13" ht="15" customHeight="1" thickBot="1">
      <c r="A6" s="145" t="s">
        <v>9</v>
      </c>
      <c r="B6" s="146" t="s">
        <v>10</v>
      </c>
      <c r="C6" s="147"/>
      <c r="D6" s="148"/>
      <c r="E6" s="15" t="s">
        <v>408</v>
      </c>
      <c r="F6" s="16">
        <v>46022</v>
      </c>
      <c r="G6" s="16">
        <f>F6</f>
        <v>46022</v>
      </c>
      <c r="H6" s="16" t="s">
        <v>211</v>
      </c>
      <c r="I6" s="17" t="s">
        <v>211</v>
      </c>
    </row>
    <row r="7" spans="1:13" ht="15.75">
      <c r="A7" s="359" t="s">
        <v>187</v>
      </c>
      <c r="B7" s="360"/>
      <c r="C7" s="360"/>
      <c r="D7" s="360"/>
      <c r="E7" s="361"/>
      <c r="F7" s="361"/>
      <c r="G7" s="21"/>
      <c r="H7" s="21"/>
      <c r="I7" s="117"/>
    </row>
    <row r="8" spans="1:13">
      <c r="A8" s="36" t="s">
        <v>188</v>
      </c>
      <c r="B8" s="1006" t="s">
        <v>189</v>
      </c>
      <c r="C8" s="975"/>
      <c r="D8" s="149"/>
      <c r="E8" s="25">
        <f>SUM(E10:E14)</f>
        <v>6885</v>
      </c>
      <c r="F8" s="26">
        <f>SUM(F10:F14)</f>
        <v>12073.2</v>
      </c>
      <c r="G8" s="25">
        <f>SUM(G10:G15)</f>
        <v>14695</v>
      </c>
      <c r="H8" s="362">
        <f>G8/E8*100</f>
        <v>213.43500363108205</v>
      </c>
      <c r="I8" s="363">
        <f>G8/F8*100</f>
        <v>121.71586654739421</v>
      </c>
    </row>
    <row r="9" spans="1:13" ht="15" customHeight="1">
      <c r="A9" s="40"/>
      <c r="B9" s="434"/>
      <c r="C9" s="366"/>
      <c r="D9" s="191"/>
      <c r="E9" s="124"/>
      <c r="F9" s="132"/>
      <c r="G9" s="31"/>
      <c r="H9" s="25"/>
      <c r="I9" s="813"/>
    </row>
    <row r="10" spans="1:13">
      <c r="A10" s="37"/>
      <c r="B10" s="435"/>
      <c r="C10" s="366" t="s">
        <v>190</v>
      </c>
      <c r="D10" s="191" t="s">
        <v>200</v>
      </c>
      <c r="E10" s="124">
        <v>300</v>
      </c>
      <c r="F10" s="132">
        <v>300</v>
      </c>
      <c r="G10" s="31">
        <v>274</v>
      </c>
      <c r="H10" s="814">
        <f t="shared" ref="H10:H11" si="0">G10/E10*100</f>
        <v>91.333333333333329</v>
      </c>
      <c r="I10" s="815">
        <f t="shared" ref="I10:I13" si="1">G10/F10*100</f>
        <v>91.333333333333329</v>
      </c>
      <c r="L10" s="153"/>
      <c r="M10" s="153"/>
    </row>
    <row r="11" spans="1:13">
      <c r="A11" s="37"/>
      <c r="B11" s="434"/>
      <c r="C11" s="366" t="s">
        <v>279</v>
      </c>
      <c r="D11" s="191" t="s">
        <v>200</v>
      </c>
      <c r="E11" s="124">
        <f>6505+80</f>
        <v>6585</v>
      </c>
      <c r="F11" s="132">
        <v>6985</v>
      </c>
      <c r="G11" s="31">
        <v>6878</v>
      </c>
      <c r="H11" s="814">
        <f t="shared" si="0"/>
        <v>104.44950645406226</v>
      </c>
      <c r="I11" s="815">
        <f t="shared" si="1"/>
        <v>98.468146027201144</v>
      </c>
      <c r="L11" s="153"/>
      <c r="M11" s="153"/>
    </row>
    <row r="12" spans="1:13">
      <c r="A12" s="37"/>
      <c r="B12" s="434"/>
      <c r="C12" s="366" t="s">
        <v>615</v>
      </c>
      <c r="D12" s="186" t="s">
        <v>600</v>
      </c>
      <c r="E12" s="124">
        <v>0</v>
      </c>
      <c r="F12" s="132">
        <v>1296.5999999999999</v>
      </c>
      <c r="G12" s="31">
        <v>1297</v>
      </c>
      <c r="H12" s="816" t="s">
        <v>280</v>
      </c>
      <c r="I12" s="815">
        <f t="shared" si="1"/>
        <v>100.03084991516273</v>
      </c>
      <c r="L12" s="153"/>
      <c r="M12" s="153"/>
    </row>
    <row r="13" spans="1:13">
      <c r="A13" s="37"/>
      <c r="B13" s="435"/>
      <c r="C13" s="393" t="s">
        <v>599</v>
      </c>
      <c r="D13" s="186" t="s">
        <v>616</v>
      </c>
      <c r="E13" s="124">
        <v>0</v>
      </c>
      <c r="F13" s="132">
        <v>3491.6</v>
      </c>
      <c r="G13" s="124">
        <v>3711</v>
      </c>
      <c r="H13" s="816" t="s">
        <v>280</v>
      </c>
      <c r="I13" s="815">
        <f t="shared" si="1"/>
        <v>106.28365219383664</v>
      </c>
      <c r="L13" s="153"/>
      <c r="M13" s="153"/>
    </row>
    <row r="14" spans="1:13">
      <c r="A14" s="37"/>
      <c r="B14" s="435"/>
      <c r="C14" s="393" t="s">
        <v>614</v>
      </c>
      <c r="D14" s="186" t="s">
        <v>368</v>
      </c>
      <c r="E14" s="124">
        <v>0</v>
      </c>
      <c r="F14" s="132">
        <v>0</v>
      </c>
      <c r="G14" s="124">
        <v>2535</v>
      </c>
      <c r="H14" s="816" t="s">
        <v>280</v>
      </c>
      <c r="I14" s="817" t="s">
        <v>280</v>
      </c>
      <c r="L14" s="153"/>
      <c r="M14" s="133"/>
    </row>
    <row r="15" spans="1:13">
      <c r="A15" s="37"/>
      <c r="B15" s="436"/>
      <c r="C15" s="393"/>
      <c r="D15" s="186"/>
      <c r="E15" s="124"/>
      <c r="F15" s="132"/>
      <c r="G15" s="25"/>
      <c r="H15" s="816"/>
      <c r="I15" s="818"/>
      <c r="L15" s="153"/>
    </row>
    <row r="16" spans="1:13">
      <c r="A16" s="23" t="s">
        <v>421</v>
      </c>
      <c r="B16" s="149" t="s">
        <v>422</v>
      </c>
      <c r="C16" s="365"/>
      <c r="D16" s="437"/>
      <c r="E16" s="25">
        <f>E17</f>
        <v>80</v>
      </c>
      <c r="F16" s="26">
        <f>F17</f>
        <v>83</v>
      </c>
      <c r="G16" s="25">
        <f>G17</f>
        <v>63</v>
      </c>
      <c r="H16" s="362">
        <f>G16/E16*100</f>
        <v>78.75</v>
      </c>
      <c r="I16" s="363">
        <f>G16/F16*100</f>
        <v>75.903614457831324</v>
      </c>
      <c r="L16" s="153"/>
    </row>
    <row r="17" spans="1:12" ht="15.75" thickBot="1">
      <c r="A17" s="40"/>
      <c r="B17" s="438"/>
      <c r="C17" s="215" t="s">
        <v>191</v>
      </c>
      <c r="D17" s="191" t="s">
        <v>192</v>
      </c>
      <c r="E17" s="124">
        <v>80</v>
      </c>
      <c r="F17" s="132">
        <v>83</v>
      </c>
      <c r="G17" s="38">
        <v>63</v>
      </c>
      <c r="H17" s="819">
        <f t="shared" ref="H17:H18" si="2">G17/E17*100</f>
        <v>78.75</v>
      </c>
      <c r="I17" s="820">
        <f t="shared" ref="I17:I18" si="3">G17/F17*100</f>
        <v>75.903614457831324</v>
      </c>
      <c r="L17" s="153"/>
    </row>
    <row r="18" spans="1:12" ht="16.5" thickBot="1">
      <c r="A18" s="1007" t="s">
        <v>16</v>
      </c>
      <c r="B18" s="958"/>
      <c r="C18" s="959"/>
      <c r="D18" s="383"/>
      <c r="E18" s="44">
        <f>E8+E16</f>
        <v>6965</v>
      </c>
      <c r="F18" s="372">
        <f>F8+F16</f>
        <v>12156.2</v>
      </c>
      <c r="G18" s="44">
        <f>G8+G16</f>
        <v>14758</v>
      </c>
      <c r="H18" s="88">
        <f t="shared" si="2"/>
        <v>211.88801148600143</v>
      </c>
      <c r="I18" s="67">
        <f t="shared" si="3"/>
        <v>121.40307003833435</v>
      </c>
      <c r="L18" s="812"/>
    </row>
    <row r="19" spans="1:12" ht="15.75" thickBot="1">
      <c r="E19" s="379"/>
      <c r="F19" s="384"/>
      <c r="G19" s="385"/>
      <c r="H19" s="90"/>
      <c r="L19" s="153"/>
    </row>
    <row r="20" spans="1:12" ht="15" customHeight="1">
      <c r="A20" s="7" t="s">
        <v>1</v>
      </c>
      <c r="B20" s="8" t="s">
        <v>2</v>
      </c>
      <c r="C20" s="45" t="s">
        <v>3</v>
      </c>
      <c r="D20" s="9"/>
      <c r="E20" s="8" t="s">
        <v>4</v>
      </c>
      <c r="F20" s="8" t="s">
        <v>312</v>
      </c>
      <c r="G20" s="8" t="s">
        <v>314</v>
      </c>
      <c r="H20" s="8" t="s">
        <v>316</v>
      </c>
      <c r="I20" s="10" t="s">
        <v>316</v>
      </c>
      <c r="L20" s="153"/>
    </row>
    <row r="21" spans="1:12">
      <c r="A21" s="11" t="s">
        <v>5</v>
      </c>
      <c r="B21" s="12" t="s">
        <v>6</v>
      </c>
      <c r="C21" s="46" t="s">
        <v>7</v>
      </c>
      <c r="D21" s="13" t="s">
        <v>8</v>
      </c>
      <c r="E21" s="12" t="s">
        <v>231</v>
      </c>
      <c r="F21" s="12" t="s">
        <v>319</v>
      </c>
      <c r="G21" s="12" t="s">
        <v>315</v>
      </c>
      <c r="H21" s="12" t="s">
        <v>317</v>
      </c>
      <c r="I21" s="14" t="s">
        <v>318</v>
      </c>
      <c r="L21" s="153"/>
    </row>
    <row r="22" spans="1:12" ht="15.75" thickBot="1">
      <c r="A22" s="47" t="s">
        <v>9</v>
      </c>
      <c r="B22" s="15" t="s">
        <v>10</v>
      </c>
      <c r="C22" s="48"/>
      <c r="D22" s="49"/>
      <c r="E22" s="15" t="s">
        <v>408</v>
      </c>
      <c r="F22" s="16">
        <v>46022</v>
      </c>
      <c r="G22" s="16">
        <f>F22</f>
        <v>46022</v>
      </c>
      <c r="H22" s="16" t="s">
        <v>211</v>
      </c>
      <c r="I22" s="17" t="s">
        <v>211</v>
      </c>
      <c r="L22" s="153"/>
    </row>
    <row r="23" spans="1:12" ht="15.75">
      <c r="A23" s="50" t="s">
        <v>320</v>
      </c>
      <c r="B23" s="51"/>
      <c r="C23" s="52"/>
      <c r="D23" s="53"/>
      <c r="E23" s="54"/>
      <c r="F23" s="373"/>
      <c r="G23" s="54"/>
      <c r="H23" s="51"/>
      <c r="I23" s="55"/>
      <c r="L23" s="153"/>
    </row>
    <row r="24" spans="1:12">
      <c r="A24" s="56" t="s">
        <v>188</v>
      </c>
      <c r="B24" s="956" t="s">
        <v>189</v>
      </c>
      <c r="C24" s="956"/>
      <c r="D24" s="956"/>
      <c r="E24" s="386">
        <f>SUM(E25:E31)</f>
        <v>0</v>
      </c>
      <c r="F24" s="387">
        <f>SUM(F25:F31)</f>
        <v>28985.9</v>
      </c>
      <c r="G24" s="386">
        <f>SUM(G25:G31)</f>
        <v>28082</v>
      </c>
      <c r="H24" s="388" t="s">
        <v>280</v>
      </c>
      <c r="I24" s="306">
        <f>(G24/F24)*100</f>
        <v>96.8815872544927</v>
      </c>
    </row>
    <row r="25" spans="1:12">
      <c r="A25" s="427" t="s">
        <v>188</v>
      </c>
      <c r="B25" s="389" t="s">
        <v>280</v>
      </c>
      <c r="C25" s="390" t="s">
        <v>895</v>
      </c>
      <c r="D25" s="391" t="s">
        <v>602</v>
      </c>
      <c r="E25" s="131">
        <v>0</v>
      </c>
      <c r="F25" s="392">
        <v>3172.8</v>
      </c>
      <c r="G25" s="131">
        <v>3173</v>
      </c>
      <c r="H25" s="439" t="s">
        <v>280</v>
      </c>
      <c r="I25" s="364">
        <f t="shared" ref="I25:I31" si="4">(G25/F25)*100</f>
        <v>100.00630358043368</v>
      </c>
    </row>
    <row r="26" spans="1:12" ht="24" customHeight="1">
      <c r="A26" s="427" t="s">
        <v>188</v>
      </c>
      <c r="B26" s="389" t="s">
        <v>280</v>
      </c>
      <c r="C26" s="390" t="s">
        <v>896</v>
      </c>
      <c r="D26" s="391" t="s">
        <v>602</v>
      </c>
      <c r="E26" s="131">
        <v>0</v>
      </c>
      <c r="F26" s="392">
        <v>1258.9000000000001</v>
      </c>
      <c r="G26" s="131">
        <v>1259</v>
      </c>
      <c r="H26" s="439" t="s">
        <v>280</v>
      </c>
      <c r="I26" s="364">
        <f t="shared" si="4"/>
        <v>100.00794344268806</v>
      </c>
    </row>
    <row r="27" spans="1:12">
      <c r="A27" s="427" t="s">
        <v>188</v>
      </c>
      <c r="B27" s="389" t="s">
        <v>891</v>
      </c>
      <c r="C27" s="390" t="s">
        <v>367</v>
      </c>
      <c r="D27" s="391" t="s">
        <v>368</v>
      </c>
      <c r="E27" s="131">
        <v>0</v>
      </c>
      <c r="F27" s="392">
        <v>904.1</v>
      </c>
      <c r="G27" s="131">
        <v>0</v>
      </c>
      <c r="H27" s="439" t="s">
        <v>280</v>
      </c>
      <c r="I27" s="364">
        <f t="shared" si="4"/>
        <v>0</v>
      </c>
    </row>
    <row r="28" spans="1:12" ht="25.5">
      <c r="A28" s="427" t="s">
        <v>188</v>
      </c>
      <c r="B28" s="389" t="s">
        <v>835</v>
      </c>
      <c r="C28" s="390" t="s">
        <v>601</v>
      </c>
      <c r="D28" s="391" t="s">
        <v>602</v>
      </c>
      <c r="E28" s="131">
        <v>0</v>
      </c>
      <c r="F28" s="392">
        <v>1844.2</v>
      </c>
      <c r="G28" s="131">
        <v>1844</v>
      </c>
      <c r="H28" s="439" t="s">
        <v>280</v>
      </c>
      <c r="I28" s="364">
        <f t="shared" si="4"/>
        <v>99.989155189241941</v>
      </c>
    </row>
    <row r="29" spans="1:12" ht="25.5">
      <c r="A29" s="427" t="s">
        <v>188</v>
      </c>
      <c r="B29" s="389" t="s">
        <v>892</v>
      </c>
      <c r="C29" s="390" t="s">
        <v>603</v>
      </c>
      <c r="D29" s="391" t="s">
        <v>602</v>
      </c>
      <c r="E29" s="131">
        <v>0</v>
      </c>
      <c r="F29" s="392">
        <v>7332</v>
      </c>
      <c r="G29" s="131">
        <v>7332</v>
      </c>
      <c r="H29" s="439" t="s">
        <v>280</v>
      </c>
      <c r="I29" s="364">
        <f t="shared" si="4"/>
        <v>100</v>
      </c>
    </row>
    <row r="30" spans="1:12">
      <c r="A30" s="427" t="s">
        <v>188</v>
      </c>
      <c r="B30" s="389" t="s">
        <v>893</v>
      </c>
      <c r="C30" s="390" t="s">
        <v>604</v>
      </c>
      <c r="D30" s="391" t="s">
        <v>602</v>
      </c>
      <c r="E30" s="131">
        <v>0</v>
      </c>
      <c r="F30" s="392">
        <v>5000</v>
      </c>
      <c r="G30" s="131">
        <v>5000</v>
      </c>
      <c r="H30" s="439" t="s">
        <v>280</v>
      </c>
      <c r="I30" s="364">
        <f t="shared" si="4"/>
        <v>100</v>
      </c>
    </row>
    <row r="31" spans="1:12" ht="26.25" thickBot="1">
      <c r="A31" s="56" t="s">
        <v>188</v>
      </c>
      <c r="B31" s="389" t="s">
        <v>894</v>
      </c>
      <c r="C31" s="390" t="s">
        <v>605</v>
      </c>
      <c r="D31" s="391" t="s">
        <v>602</v>
      </c>
      <c r="E31" s="131">
        <v>0</v>
      </c>
      <c r="F31" s="392">
        <v>9473.9</v>
      </c>
      <c r="G31" s="131">
        <v>9474</v>
      </c>
      <c r="H31" s="439" t="s">
        <v>280</v>
      </c>
      <c r="I31" s="364">
        <f t="shared" si="4"/>
        <v>100.0010555315129</v>
      </c>
    </row>
    <row r="32" spans="1:12" ht="16.5" thickBot="1">
      <c r="A32" s="65" t="s">
        <v>322</v>
      </c>
      <c r="B32" s="66"/>
      <c r="C32" s="66"/>
      <c r="D32" s="66"/>
      <c r="E32" s="483">
        <f>E24</f>
        <v>0</v>
      </c>
      <c r="F32" s="484">
        <f>F24</f>
        <v>28985.9</v>
      </c>
      <c r="G32" s="483">
        <f>G24</f>
        <v>28082</v>
      </c>
      <c r="H32" s="757" t="s">
        <v>280</v>
      </c>
      <c r="I32" s="67">
        <f>G32/F32*100</f>
        <v>96.8815872544927</v>
      </c>
    </row>
    <row r="33" spans="1:9" ht="16.5" thickBot="1">
      <c r="A33" s="68"/>
      <c r="B33" s="68"/>
      <c r="C33" s="68"/>
      <c r="D33" s="68"/>
      <c r="E33" s="68"/>
      <c r="F33" s="487"/>
      <c r="G33" s="68"/>
      <c r="H33" s="488"/>
      <c r="I33" s="488"/>
    </row>
    <row r="34" spans="1:9" ht="16.5" thickBot="1">
      <c r="A34" s="105" t="s">
        <v>369</v>
      </c>
      <c r="B34" s="106"/>
      <c r="C34" s="107"/>
      <c r="D34" s="108"/>
      <c r="E34" s="535">
        <f>E18+E32</f>
        <v>6965</v>
      </c>
      <c r="F34" s="536">
        <f>F18+F32</f>
        <v>41142.100000000006</v>
      </c>
      <c r="G34" s="535">
        <f>G18+G32</f>
        <v>42840</v>
      </c>
      <c r="H34" s="537">
        <f>(G34/E34)*100</f>
        <v>615.0753768844221</v>
      </c>
      <c r="I34" s="539">
        <f>(G34/F34)*100</f>
        <v>104.12691622449995</v>
      </c>
    </row>
  </sheetData>
  <mergeCells count="4">
    <mergeCell ref="A2:D2"/>
    <mergeCell ref="B8:C8"/>
    <mergeCell ref="A18:C18"/>
    <mergeCell ref="B24:D24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 </vt:lpstr>
      <vt:lpstr>Kap. 09</vt:lpstr>
      <vt:lpstr>Kap. 10</vt:lpstr>
      <vt:lpstr>'Kap. 09'!Oblast_tisku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2026-06-18T04:16:19Z</cp:lastPrinted>
  <dcterms:created xsi:type="dcterms:W3CDTF">2014-06-06T09:29:24Z</dcterms:created>
  <dcterms:modified xsi:type="dcterms:W3CDTF">2026-06-18T04:20:11Z</dcterms:modified>
</cp:coreProperties>
</file>