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92380872_pism192380872/"/>
    </mc:Choice>
  </mc:AlternateContent>
  <xr:revisionPtr revIDLastSave="0" documentId="13_ncr:1_{7DE3EB12-0240-45EA-884A-7AC69346556E}" xr6:coauthVersionLast="44" xr6:coauthVersionMax="44" xr10:uidLastSave="{00000000-0000-0000-0000-000000000000}"/>
  <bookViews>
    <workbookView xWindow="-120" yWindow="-120" windowWidth="19440" windowHeight="15000" tabRatio="786" xr2:uid="{00000000-000D-0000-FFFF-FFFF00000000}"/>
  </bookViews>
  <sheets>
    <sheet name="Kap. 01" sheetId="32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27" r:id="rId7"/>
    <sheet name="Kap. 08" sheetId="28" r:id="rId8"/>
    <sheet name="Kap. 09" sheetId="33" r:id="rId9"/>
    <sheet name="Kap. 10" sheetId="31" r:id="rId10"/>
  </sheets>
  <externalReferences>
    <externalReference r:id="rId11"/>
    <externalReference r:id="rId12"/>
  </externalReferences>
  <definedNames>
    <definedName name="_xlnm.Print_Area" localSheetId="0">'Kap. 01'!$A$1:$I$51</definedName>
    <definedName name="_xlnm.Print_Area" localSheetId="3">'Kap. 04'!$A$1:$J$231</definedName>
    <definedName name="_xlnm.Print_Area" localSheetId="5">'Kap. 06'!$A$1:$I$43</definedName>
    <definedName name="_xlnm.Print_Area" localSheetId="6">'Kap. 07'!$A$1:$I$33</definedName>
    <definedName name="_xlnm.Print_Area" localSheetId="7">'Kap. 08'!$A$1:$I$41</definedName>
    <definedName name="_xlnm.Print_Area" localSheetId="8">'Kap. 09'!$A$1:$I$132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33" l="1"/>
  <c r="I11" i="28"/>
  <c r="H157" i="20"/>
  <c r="I23" i="32"/>
  <c r="I157" i="20" l="1"/>
  <c r="G9" i="31" l="1"/>
  <c r="I15" i="31"/>
  <c r="G190" i="20" l="1"/>
  <c r="F190" i="20"/>
  <c r="I224" i="20"/>
  <c r="I223" i="20"/>
  <c r="I222" i="20"/>
  <c r="F221" i="20"/>
  <c r="I221" i="20" s="1"/>
  <c r="I220" i="20"/>
  <c r="H219" i="20"/>
  <c r="H218" i="20"/>
  <c r="F74" i="20" l="1"/>
  <c r="G153" i="20"/>
  <c r="F80" i="20" l="1"/>
  <c r="I30" i="27" l="1"/>
  <c r="E125" i="33"/>
  <c r="E130" i="33" s="1"/>
  <c r="F125" i="33"/>
  <c r="G125" i="33"/>
  <c r="H125" i="33" s="1"/>
  <c r="H126" i="33"/>
  <c r="I126" i="33"/>
  <c r="H127" i="33"/>
  <c r="I127" i="33"/>
  <c r="H128" i="33"/>
  <c r="I128" i="33"/>
  <c r="H129" i="33"/>
  <c r="I129" i="33"/>
  <c r="F130" i="33"/>
  <c r="G9" i="33"/>
  <c r="I105" i="33"/>
  <c r="H105" i="33"/>
  <c r="I106" i="33"/>
  <c r="E66" i="33"/>
  <c r="G66" i="33"/>
  <c r="F66" i="33"/>
  <c r="I94" i="33"/>
  <c r="G47" i="33"/>
  <c r="H47" i="33" s="1"/>
  <c r="G44" i="33"/>
  <c r="G43" i="33"/>
  <c r="H43" i="33" s="1"/>
  <c r="G42" i="33"/>
  <c r="H42" i="33" s="1"/>
  <c r="G41" i="33"/>
  <c r="H41" i="33" s="1"/>
  <c r="F51" i="33"/>
  <c r="I51" i="33" s="1"/>
  <c r="F50" i="33"/>
  <c r="F49" i="33"/>
  <c r="I49" i="33" s="1"/>
  <c r="F48" i="33"/>
  <c r="I48" i="33" s="1"/>
  <c r="F47" i="33"/>
  <c r="F46" i="33"/>
  <c r="F45" i="33"/>
  <c r="I45" i="33" s="1"/>
  <c r="F44" i="33"/>
  <c r="F43" i="33"/>
  <c r="F42" i="33"/>
  <c r="F41" i="33"/>
  <c r="F9" i="33"/>
  <c r="I25" i="33"/>
  <c r="H36" i="33"/>
  <c r="G36" i="33"/>
  <c r="F36" i="33"/>
  <c r="E36" i="33"/>
  <c r="I37" i="33"/>
  <c r="I36" i="33" s="1"/>
  <c r="I31" i="33"/>
  <c r="E9" i="33"/>
  <c r="H10" i="33"/>
  <c r="I10" i="33"/>
  <c r="H11" i="33"/>
  <c r="I11" i="33"/>
  <c r="H12" i="33"/>
  <c r="I12" i="33"/>
  <c r="H13" i="33"/>
  <c r="I13" i="33"/>
  <c r="H14" i="33"/>
  <c r="I14" i="33"/>
  <c r="H15" i="33"/>
  <c r="I15" i="33"/>
  <c r="H16" i="33"/>
  <c r="I16" i="33"/>
  <c r="H17" i="33"/>
  <c r="I17" i="33"/>
  <c r="H18" i="33"/>
  <c r="I18" i="33"/>
  <c r="H19" i="33"/>
  <c r="I19" i="33"/>
  <c r="H21" i="33"/>
  <c r="I21" i="33"/>
  <c r="I22" i="33"/>
  <c r="H23" i="33"/>
  <c r="I23" i="33"/>
  <c r="H24" i="33"/>
  <c r="I24" i="33"/>
  <c r="E26" i="33"/>
  <c r="E8" i="33" s="1"/>
  <c r="F26" i="33"/>
  <c r="F8" i="33" s="1"/>
  <c r="G26" i="33"/>
  <c r="H27" i="33"/>
  <c r="I27" i="33"/>
  <c r="H28" i="33"/>
  <c r="I28" i="33"/>
  <c r="H29" i="33"/>
  <c r="I29" i="33"/>
  <c r="H30" i="33"/>
  <c r="I30" i="33"/>
  <c r="H32" i="33"/>
  <c r="I32" i="33"/>
  <c r="H33" i="33"/>
  <c r="I33" i="33"/>
  <c r="E40" i="33"/>
  <c r="H44" i="33"/>
  <c r="H45" i="33"/>
  <c r="H46" i="33"/>
  <c r="I46" i="33"/>
  <c r="H48" i="33"/>
  <c r="H49" i="33"/>
  <c r="H50" i="33"/>
  <c r="I50" i="33"/>
  <c r="H51" i="33"/>
  <c r="E53" i="33"/>
  <c r="F53" i="33"/>
  <c r="G53" i="33"/>
  <c r="H54" i="33"/>
  <c r="I54" i="33"/>
  <c r="H55" i="33"/>
  <c r="I55" i="33"/>
  <c r="E63" i="33"/>
  <c r="E62" i="33" s="1"/>
  <c r="F63" i="33"/>
  <c r="G63" i="33"/>
  <c r="I63" i="33" s="1"/>
  <c r="H64" i="33"/>
  <c r="I64" i="33"/>
  <c r="H65" i="33"/>
  <c r="I65" i="33"/>
  <c r="H67" i="33"/>
  <c r="I67" i="33"/>
  <c r="H68" i="33"/>
  <c r="I68" i="33"/>
  <c r="H69" i="33"/>
  <c r="I69" i="33"/>
  <c r="H70" i="33"/>
  <c r="I70" i="33"/>
  <c r="H71" i="33"/>
  <c r="I71" i="33"/>
  <c r="H72" i="33"/>
  <c r="I72" i="33"/>
  <c r="H73" i="33"/>
  <c r="I73" i="33"/>
  <c r="H74" i="33"/>
  <c r="I74" i="33"/>
  <c r="H75" i="33"/>
  <c r="I75" i="33"/>
  <c r="H76" i="33"/>
  <c r="I76" i="33"/>
  <c r="H77" i="33"/>
  <c r="I77" i="33"/>
  <c r="H78" i="33"/>
  <c r="I78" i="33"/>
  <c r="H79" i="33"/>
  <c r="I79" i="33"/>
  <c r="H80" i="33"/>
  <c r="I80" i="33"/>
  <c r="H81" i="33"/>
  <c r="I81" i="33"/>
  <c r="H82" i="33"/>
  <c r="I82" i="33"/>
  <c r="H83" i="33"/>
  <c r="I83" i="33"/>
  <c r="H84" i="33"/>
  <c r="I84" i="33"/>
  <c r="H85" i="33"/>
  <c r="I85" i="33"/>
  <c r="H86" i="33"/>
  <c r="I86" i="33"/>
  <c r="H88" i="33"/>
  <c r="I88" i="33"/>
  <c r="H89" i="33"/>
  <c r="I89" i="33"/>
  <c r="H90" i="33"/>
  <c r="I90" i="33"/>
  <c r="H91" i="33"/>
  <c r="I91" i="33"/>
  <c r="H92" i="33"/>
  <c r="I92" i="33"/>
  <c r="H93" i="33"/>
  <c r="I93" i="33"/>
  <c r="E96" i="33"/>
  <c r="F96" i="33"/>
  <c r="G96" i="33"/>
  <c r="H97" i="33"/>
  <c r="I97" i="33"/>
  <c r="H98" i="33"/>
  <c r="I98" i="33"/>
  <c r="H99" i="33"/>
  <c r="I99" i="33"/>
  <c r="H100" i="33"/>
  <c r="I100" i="33"/>
  <c r="H101" i="33"/>
  <c r="I101" i="33"/>
  <c r="H102" i="33"/>
  <c r="I102" i="33"/>
  <c r="H103" i="33"/>
  <c r="I103" i="33"/>
  <c r="H104" i="33"/>
  <c r="I104" i="33"/>
  <c r="E113" i="33"/>
  <c r="F113" i="33"/>
  <c r="G113" i="33"/>
  <c r="H114" i="33"/>
  <c r="I114" i="33"/>
  <c r="H115" i="33"/>
  <c r="I115" i="33"/>
  <c r="H116" i="33"/>
  <c r="I116" i="33"/>
  <c r="E117" i="33" l="1"/>
  <c r="G62" i="33"/>
  <c r="I53" i="33"/>
  <c r="G8" i="33"/>
  <c r="G117" i="33"/>
  <c r="I125" i="33"/>
  <c r="G130" i="33"/>
  <c r="G40" i="33"/>
  <c r="H40" i="33" s="1"/>
  <c r="I96" i="33"/>
  <c r="H113" i="33"/>
  <c r="I66" i="33"/>
  <c r="H53" i="33"/>
  <c r="I47" i="33"/>
  <c r="I44" i="33"/>
  <c r="I43" i="33"/>
  <c r="I42" i="33"/>
  <c r="I41" i="33"/>
  <c r="F40" i="33"/>
  <c r="I113" i="33"/>
  <c r="H66" i="33"/>
  <c r="F62" i="33"/>
  <c r="H8" i="33"/>
  <c r="H96" i="33"/>
  <c r="H9" i="33"/>
  <c r="I26" i="33"/>
  <c r="H26" i="33"/>
  <c r="E132" i="33"/>
  <c r="H63" i="33"/>
  <c r="I9" i="33"/>
  <c r="F117" i="33" l="1"/>
  <c r="F132" i="33" s="1"/>
  <c r="H130" i="33"/>
  <c r="I130" i="33"/>
  <c r="I40" i="33"/>
  <c r="I8" i="33"/>
  <c r="H62" i="33"/>
  <c r="I62" i="33"/>
  <c r="I117" i="33" l="1"/>
  <c r="H117" i="33"/>
  <c r="G132" i="33"/>
  <c r="I132" i="33" l="1"/>
  <c r="H132" i="33"/>
  <c r="I48" i="32" l="1"/>
  <c r="G47" i="32"/>
  <c r="F47" i="32"/>
  <c r="E47" i="32"/>
  <c r="H45" i="32"/>
  <c r="G44" i="32"/>
  <c r="F44" i="32"/>
  <c r="E44" i="32"/>
  <c r="I41" i="32"/>
  <c r="H41" i="32"/>
  <c r="I40" i="32"/>
  <c r="H40" i="32"/>
  <c r="I39" i="32"/>
  <c r="H39" i="32"/>
  <c r="I38" i="32"/>
  <c r="H38" i="32"/>
  <c r="I37" i="32"/>
  <c r="H37" i="32"/>
  <c r="I36" i="32"/>
  <c r="H36" i="32"/>
  <c r="G35" i="32"/>
  <c r="F35" i="32"/>
  <c r="E35" i="32"/>
  <c r="G32" i="32"/>
  <c r="F32" i="32"/>
  <c r="I27" i="32"/>
  <c r="H27" i="32"/>
  <c r="G25" i="32"/>
  <c r="F25" i="32"/>
  <c r="E25" i="32"/>
  <c r="I22" i="32"/>
  <c r="H22" i="32"/>
  <c r="I21" i="32"/>
  <c r="H21" i="32"/>
  <c r="G20" i="32"/>
  <c r="F20" i="32"/>
  <c r="E20" i="32"/>
  <c r="I18" i="32"/>
  <c r="H18" i="32"/>
  <c r="G16" i="32"/>
  <c r="F16" i="32"/>
  <c r="E16" i="32"/>
  <c r="I47" i="32" l="1"/>
  <c r="I16" i="32"/>
  <c r="I25" i="32"/>
  <c r="E49" i="32"/>
  <c r="F49" i="32"/>
  <c r="H44" i="32"/>
  <c r="E28" i="32"/>
  <c r="I35" i="32"/>
  <c r="H16" i="32"/>
  <c r="H25" i="32"/>
  <c r="H35" i="32"/>
  <c r="G28" i="32"/>
  <c r="F28" i="32"/>
  <c r="F51" i="32" s="1"/>
  <c r="G49" i="32"/>
  <c r="H20" i="32"/>
  <c r="I20" i="32"/>
  <c r="I20" i="31"/>
  <c r="H20" i="31"/>
  <c r="G18" i="31"/>
  <c r="F18" i="31"/>
  <c r="E18" i="31"/>
  <c r="E22" i="31" s="1"/>
  <c r="E24" i="31" s="1"/>
  <c r="I11" i="31"/>
  <c r="H11" i="31"/>
  <c r="G22" i="31"/>
  <c r="F9" i="31"/>
  <c r="E9" i="31"/>
  <c r="G7" i="31"/>
  <c r="F7" i="31"/>
  <c r="H28" i="32" l="1"/>
  <c r="E51" i="32"/>
  <c r="I18" i="31"/>
  <c r="H18" i="31"/>
  <c r="F22" i="31"/>
  <c r="F24" i="31" s="1"/>
  <c r="I28" i="32"/>
  <c r="I49" i="32"/>
  <c r="H49" i="32"/>
  <c r="G51" i="32"/>
  <c r="I22" i="31"/>
  <c r="G24" i="31"/>
  <c r="H22" i="31"/>
  <c r="H9" i="31"/>
  <c r="I9" i="31"/>
  <c r="I51" i="32" l="1"/>
  <c r="H51" i="32"/>
  <c r="I24" i="31"/>
  <c r="H24" i="31"/>
  <c r="G152" i="20" l="1"/>
  <c r="F153" i="20"/>
  <c r="F152" i="20" s="1"/>
  <c r="E155" i="20"/>
  <c r="G136" i="20"/>
  <c r="G35" i="20"/>
  <c r="F35" i="20"/>
  <c r="G140" i="20"/>
  <c r="G32" i="20"/>
  <c r="F32" i="20"/>
  <c r="G20" i="20"/>
  <c r="F20" i="20"/>
  <c r="F147" i="20"/>
  <c r="G29" i="27" l="1"/>
  <c r="F29" i="27"/>
  <c r="F31" i="27" s="1"/>
  <c r="E29" i="27"/>
  <c r="E31" i="27" s="1"/>
  <c r="G27" i="27"/>
  <c r="F27" i="27"/>
  <c r="I20" i="27"/>
  <c r="H20" i="27"/>
  <c r="I19" i="27"/>
  <c r="I18" i="27"/>
  <c r="H18" i="27"/>
  <c r="I17" i="27"/>
  <c r="H17" i="27"/>
  <c r="G16" i="27"/>
  <c r="F16" i="27"/>
  <c r="E16" i="27"/>
  <c r="I14" i="27"/>
  <c r="H14" i="27"/>
  <c r="I13" i="27"/>
  <c r="H13" i="27"/>
  <c r="I12" i="27"/>
  <c r="H12" i="27"/>
  <c r="G11" i="27"/>
  <c r="F11" i="27"/>
  <c r="F21" i="27" s="1"/>
  <c r="E11" i="27"/>
  <c r="I9" i="27"/>
  <c r="H9" i="27"/>
  <c r="G6" i="27"/>
  <c r="F6" i="27"/>
  <c r="I39" i="19"/>
  <c r="H39" i="19"/>
  <c r="G38" i="19"/>
  <c r="I38" i="19" s="1"/>
  <c r="F38" i="19"/>
  <c r="F40" i="19" s="1"/>
  <c r="E38" i="19"/>
  <c r="E40" i="19" s="1"/>
  <c r="G36" i="19"/>
  <c r="F36" i="19"/>
  <c r="I30" i="19"/>
  <c r="H30" i="19"/>
  <c r="I29" i="19"/>
  <c r="H29" i="19"/>
  <c r="I27" i="19"/>
  <c r="H27" i="19"/>
  <c r="G26" i="19"/>
  <c r="H26" i="19" s="1"/>
  <c r="F26" i="19"/>
  <c r="E26" i="19"/>
  <c r="I24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G8" i="19"/>
  <c r="F8" i="19"/>
  <c r="I8" i="19" s="1"/>
  <c r="E8" i="19"/>
  <c r="E31" i="19" s="1"/>
  <c r="G6" i="19"/>
  <c r="F6" i="19"/>
  <c r="I28" i="3"/>
  <c r="H28" i="3"/>
  <c r="I27" i="3"/>
  <c r="H27" i="3"/>
  <c r="I26" i="3"/>
  <c r="H26" i="3"/>
  <c r="I25" i="3"/>
  <c r="H25" i="3"/>
  <c r="I24" i="3"/>
  <c r="H24" i="3"/>
  <c r="G23" i="3"/>
  <c r="F23" i="3"/>
  <c r="E23" i="3"/>
  <c r="I22" i="3"/>
  <c r="H22" i="3"/>
  <c r="G21" i="3"/>
  <c r="H21" i="3" s="1"/>
  <c r="F21" i="3"/>
  <c r="E21" i="3"/>
  <c r="G19" i="3"/>
  <c r="F19" i="3"/>
  <c r="I13" i="3"/>
  <c r="I12" i="3"/>
  <c r="H12" i="3"/>
  <c r="I11" i="3"/>
  <c r="H11" i="3"/>
  <c r="I10" i="3"/>
  <c r="H10" i="3"/>
  <c r="I9" i="3"/>
  <c r="H9" i="3"/>
  <c r="G8" i="3"/>
  <c r="G14" i="3" s="1"/>
  <c r="F8" i="3"/>
  <c r="F14" i="3" s="1"/>
  <c r="E8" i="3"/>
  <c r="E14" i="3" s="1"/>
  <c r="G6" i="3"/>
  <c r="F6" i="3"/>
  <c r="E31" i="3" l="1"/>
  <c r="E42" i="19"/>
  <c r="E8" i="27"/>
  <c r="E21" i="27"/>
  <c r="I21" i="3"/>
  <c r="G29" i="3"/>
  <c r="I29" i="3" s="1"/>
  <c r="F31" i="19"/>
  <c r="F42" i="19" s="1"/>
  <c r="E29" i="3"/>
  <c r="I23" i="3"/>
  <c r="H8" i="19"/>
  <c r="I26" i="19"/>
  <c r="G31" i="19"/>
  <c r="I31" i="19" s="1"/>
  <c r="G21" i="27"/>
  <c r="G31" i="3"/>
  <c r="F29" i="3"/>
  <c r="F31" i="3" s="1"/>
  <c r="G40" i="19"/>
  <c r="H40" i="19" s="1"/>
  <c r="F8" i="27"/>
  <c r="I11" i="27"/>
  <c r="G8" i="27"/>
  <c r="I29" i="27"/>
  <c r="G31" i="27"/>
  <c r="I31" i="27" s="1"/>
  <c r="I16" i="27"/>
  <c r="F33" i="27"/>
  <c r="H16" i="27"/>
  <c r="H11" i="27"/>
  <c r="I40" i="19"/>
  <c r="G42" i="19"/>
  <c r="H31" i="19"/>
  <c r="H38" i="19"/>
  <c r="H14" i="3"/>
  <c r="I14" i="3"/>
  <c r="H8" i="3"/>
  <c r="H29" i="3"/>
  <c r="I8" i="3"/>
  <c r="H23" i="3"/>
  <c r="F156" i="20"/>
  <c r="F155" i="20" s="1"/>
  <c r="G91" i="20"/>
  <c r="G119" i="20"/>
  <c r="G75" i="20"/>
  <c r="G83" i="20"/>
  <c r="G97" i="20"/>
  <c r="G87" i="20"/>
  <c r="G132" i="20"/>
  <c r="G128" i="20"/>
  <c r="G123" i="20"/>
  <c r="G115" i="20"/>
  <c r="G101" i="20"/>
  <c r="F17" i="20"/>
  <c r="F71" i="20"/>
  <c r="F67" i="20"/>
  <c r="F64" i="20"/>
  <c r="F60" i="20"/>
  <c r="F57" i="20"/>
  <c r="F48" i="20"/>
  <c r="F45" i="20"/>
  <c r="F42" i="20"/>
  <c r="F39" i="20"/>
  <c r="F29" i="20"/>
  <c r="F26" i="20"/>
  <c r="F23" i="20"/>
  <c r="F14" i="20"/>
  <c r="F10" i="20"/>
  <c r="H9" i="28"/>
  <c r="F9" i="28"/>
  <c r="H10" i="28"/>
  <c r="I10" i="28"/>
  <c r="H11" i="28"/>
  <c r="H12" i="28"/>
  <c r="I12" i="28"/>
  <c r="H13" i="28"/>
  <c r="I13" i="28"/>
  <c r="H14" i="28"/>
  <c r="I14" i="28"/>
  <c r="H15" i="28"/>
  <c r="I15" i="28"/>
  <c r="G16" i="28"/>
  <c r="H17" i="28"/>
  <c r="I17" i="28"/>
  <c r="G8" i="28" l="1"/>
  <c r="H8" i="28" s="1"/>
  <c r="G74" i="20"/>
  <c r="I8" i="27"/>
  <c r="I42" i="19"/>
  <c r="H42" i="19"/>
  <c r="I31" i="3"/>
  <c r="H31" i="3"/>
  <c r="I16" i="2"/>
  <c r="I152" i="20" l="1"/>
  <c r="I153" i="20"/>
  <c r="H153" i="20"/>
  <c r="G33" i="27" l="1"/>
  <c r="I33" i="27" s="1"/>
  <c r="I21" i="27"/>
  <c r="I9" i="28" l="1"/>
  <c r="F171" i="20" l="1"/>
  <c r="G171" i="20"/>
  <c r="E171" i="20"/>
  <c r="I173" i="20"/>
  <c r="H172" i="20"/>
  <c r="I172" i="20"/>
  <c r="I227" i="20"/>
  <c r="H227" i="20"/>
  <c r="I226" i="20"/>
  <c r="I225" i="20"/>
  <c r="I209" i="20"/>
  <c r="H209" i="20"/>
  <c r="H208" i="20"/>
  <c r="I207" i="20"/>
  <c r="H207" i="20"/>
  <c r="I206" i="20"/>
  <c r="H206" i="20"/>
  <c r="I205" i="20"/>
  <c r="H205" i="20"/>
  <c r="I204" i="20"/>
  <c r="H204" i="20"/>
  <c r="I203" i="20"/>
  <c r="H203" i="20"/>
  <c r="I202" i="20"/>
  <c r="H202" i="20"/>
  <c r="I201" i="20"/>
  <c r="H201" i="20"/>
  <c r="H200" i="20"/>
  <c r="I199" i="20"/>
  <c r="H199" i="20"/>
  <c r="I198" i="20"/>
  <c r="H198" i="20"/>
  <c r="I197" i="20"/>
  <c r="H197" i="20"/>
  <c r="I196" i="20"/>
  <c r="H196" i="20"/>
  <c r="I195" i="20"/>
  <c r="H195" i="20"/>
  <c r="I194" i="20"/>
  <c r="H194" i="20"/>
  <c r="I193" i="20"/>
  <c r="H193" i="20"/>
  <c r="I192" i="20"/>
  <c r="H192" i="20"/>
  <c r="I191" i="20"/>
  <c r="H191" i="20"/>
  <c r="E190" i="20"/>
  <c r="F188" i="20"/>
  <c r="I188" i="20" s="1"/>
  <c r="F187" i="20"/>
  <c r="I187" i="20" s="1"/>
  <c r="F186" i="20"/>
  <c r="I186" i="20" s="1"/>
  <c r="F185" i="20"/>
  <c r="I185" i="20" s="1"/>
  <c r="F184" i="20"/>
  <c r="I184" i="20" s="1"/>
  <c r="F183" i="20"/>
  <c r="I182" i="20"/>
  <c r="H182" i="20"/>
  <c r="I181" i="20"/>
  <c r="H181" i="20"/>
  <c r="I180" i="20"/>
  <c r="H180" i="20"/>
  <c r="G179" i="20"/>
  <c r="E179" i="20"/>
  <c r="I177" i="20"/>
  <c r="I176" i="20"/>
  <c r="G175" i="20"/>
  <c r="F175" i="20"/>
  <c r="E175" i="20"/>
  <c r="I190" i="20" l="1"/>
  <c r="E228" i="20"/>
  <c r="G228" i="20"/>
  <c r="H179" i="20"/>
  <c r="H190" i="20"/>
  <c r="I175" i="20"/>
  <c r="F179" i="20"/>
  <c r="I179" i="20" s="1"/>
  <c r="I171" i="20"/>
  <c r="I183" i="20"/>
  <c r="H171" i="20"/>
  <c r="G8" i="2"/>
  <c r="G24" i="2"/>
  <c r="I45" i="2"/>
  <c r="I44" i="2"/>
  <c r="F228" i="20" l="1"/>
  <c r="H228" i="20"/>
  <c r="I48" i="2"/>
  <c r="H48" i="2"/>
  <c r="G47" i="2"/>
  <c r="F47" i="2"/>
  <c r="E47" i="2"/>
  <c r="I46" i="2"/>
  <c r="I43" i="2"/>
  <c r="I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F24" i="2"/>
  <c r="F49" i="2" s="1"/>
  <c r="E24" i="2"/>
  <c r="E49" i="2" s="1"/>
  <c r="F8" i="2"/>
  <c r="I24" i="2" l="1"/>
  <c r="I47" i="2"/>
  <c r="I228" i="20"/>
  <c r="H24" i="2"/>
  <c r="G49" i="2"/>
  <c r="I49" i="2"/>
  <c r="H47" i="2"/>
  <c r="H49" i="2" l="1"/>
  <c r="G26" i="28"/>
  <c r="E26" i="28"/>
  <c r="F26" i="28"/>
  <c r="I38" i="28"/>
  <c r="I30" i="26" l="1"/>
  <c r="G29" i="26" l="1"/>
  <c r="G31" i="26" s="1"/>
  <c r="F29" i="26"/>
  <c r="F31" i="26" s="1"/>
  <c r="E29" i="26"/>
  <c r="E31" i="26" s="1"/>
  <c r="I29" i="26" l="1"/>
  <c r="I31" i="26"/>
  <c r="I37" i="28"/>
  <c r="I38" i="20" l="1"/>
  <c r="E165" i="20" l="1"/>
  <c r="F165" i="20"/>
  <c r="G165" i="20"/>
  <c r="E39" i="28" l="1"/>
  <c r="F39" i="28"/>
  <c r="G39" i="28"/>
  <c r="H29" i="28"/>
  <c r="I29" i="28"/>
  <c r="H30" i="28"/>
  <c r="I30" i="28"/>
  <c r="H31" i="28"/>
  <c r="I31" i="28"/>
  <c r="H32" i="28"/>
  <c r="I32" i="28"/>
  <c r="H33" i="28"/>
  <c r="I33" i="28"/>
  <c r="H34" i="28"/>
  <c r="I34" i="28"/>
  <c r="H35" i="28"/>
  <c r="I35" i="28"/>
  <c r="H36" i="28"/>
  <c r="I36" i="28"/>
  <c r="I27" i="28"/>
  <c r="I28" i="28"/>
  <c r="H28" i="28"/>
  <c r="H27" i="28"/>
  <c r="H26" i="28" l="1"/>
  <c r="I39" i="28"/>
  <c r="H39" i="28"/>
  <c r="I26" i="28"/>
  <c r="F16" i="28" l="1"/>
  <c r="I16" i="28" s="1"/>
  <c r="E16" i="28"/>
  <c r="G18" i="28"/>
  <c r="F8" i="28"/>
  <c r="E8" i="28"/>
  <c r="F18" i="28" l="1"/>
  <c r="F41" i="28" s="1"/>
  <c r="I8" i="28"/>
  <c r="E18" i="28"/>
  <c r="E41" i="28" s="1"/>
  <c r="H16" i="28"/>
  <c r="G41" i="28"/>
  <c r="F12" i="26"/>
  <c r="G12" i="26"/>
  <c r="E12" i="26"/>
  <c r="I13" i="26"/>
  <c r="I14" i="26"/>
  <c r="I15" i="26"/>
  <c r="I16" i="26"/>
  <c r="I17" i="26"/>
  <c r="I19" i="26"/>
  <c r="I20" i="26"/>
  <c r="I21" i="26"/>
  <c r="H13" i="26"/>
  <c r="H14" i="26"/>
  <c r="H15" i="26"/>
  <c r="H16" i="26"/>
  <c r="H17" i="26"/>
  <c r="H19" i="26"/>
  <c r="H20" i="26"/>
  <c r="H21" i="26"/>
  <c r="H9" i="26"/>
  <c r="I9" i="26"/>
  <c r="I10" i="26"/>
  <c r="F8" i="26"/>
  <c r="G8" i="26"/>
  <c r="E8" i="26"/>
  <c r="I156" i="20"/>
  <c r="I158" i="20"/>
  <c r="H156" i="20"/>
  <c r="G155" i="20"/>
  <c r="H152" i="20"/>
  <c r="I149" i="20"/>
  <c r="H149" i="20"/>
  <c r="H112" i="20"/>
  <c r="I112" i="20"/>
  <c r="H113" i="20"/>
  <c r="I113" i="20"/>
  <c r="H114" i="20"/>
  <c r="I114" i="20"/>
  <c r="H115" i="20"/>
  <c r="I115" i="20"/>
  <c r="H116" i="20"/>
  <c r="I116" i="20"/>
  <c r="H117" i="20"/>
  <c r="I117" i="20"/>
  <c r="H118" i="20"/>
  <c r="I118" i="20"/>
  <c r="H119" i="20"/>
  <c r="I119" i="20"/>
  <c r="H120" i="20"/>
  <c r="I120" i="20"/>
  <c r="H121" i="20"/>
  <c r="I121" i="20"/>
  <c r="H122" i="20"/>
  <c r="I122" i="20"/>
  <c r="H123" i="20"/>
  <c r="I123" i="20"/>
  <c r="H124" i="20"/>
  <c r="I124" i="20"/>
  <c r="H125" i="20"/>
  <c r="I125" i="20"/>
  <c r="H126" i="20"/>
  <c r="I126" i="20"/>
  <c r="H127" i="20"/>
  <c r="I127" i="20"/>
  <c r="H128" i="20"/>
  <c r="I128" i="20"/>
  <c r="H129" i="20"/>
  <c r="I129" i="20"/>
  <c r="H130" i="20"/>
  <c r="I130" i="20"/>
  <c r="H131" i="20"/>
  <c r="I131" i="20"/>
  <c r="H132" i="20"/>
  <c r="I132" i="20"/>
  <c r="H133" i="20"/>
  <c r="I133" i="20"/>
  <c r="H134" i="20"/>
  <c r="I134" i="20"/>
  <c r="H135" i="20"/>
  <c r="I135" i="20"/>
  <c r="H136" i="20"/>
  <c r="I136" i="20"/>
  <c r="H137" i="20"/>
  <c r="I137" i="20"/>
  <c r="H138" i="20"/>
  <c r="I138" i="20"/>
  <c r="H139" i="20"/>
  <c r="I139" i="20"/>
  <c r="H140" i="20"/>
  <c r="I140" i="20"/>
  <c r="H141" i="20"/>
  <c r="I141" i="20"/>
  <c r="H142" i="20"/>
  <c r="I142" i="20"/>
  <c r="H143" i="20"/>
  <c r="I143" i="20"/>
  <c r="I111" i="20"/>
  <c r="H111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2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I57" i="20"/>
  <c r="H57" i="20"/>
  <c r="H10" i="20"/>
  <c r="I10" i="20"/>
  <c r="H11" i="20"/>
  <c r="I11" i="20"/>
  <c r="H12" i="20"/>
  <c r="I12" i="20"/>
  <c r="H13" i="20"/>
  <c r="I13" i="20"/>
  <c r="H14" i="20"/>
  <c r="I14" i="20"/>
  <c r="H15" i="20"/>
  <c r="I15" i="20"/>
  <c r="H16" i="20"/>
  <c r="I16" i="20"/>
  <c r="H17" i="20"/>
  <c r="I17" i="20"/>
  <c r="H18" i="20"/>
  <c r="I18" i="20"/>
  <c r="H19" i="20"/>
  <c r="I19" i="20"/>
  <c r="H20" i="20"/>
  <c r="I20" i="20"/>
  <c r="H21" i="20"/>
  <c r="I21" i="20"/>
  <c r="H22" i="20"/>
  <c r="I22" i="20"/>
  <c r="H23" i="20"/>
  <c r="I23" i="20"/>
  <c r="H24" i="20"/>
  <c r="I24" i="20"/>
  <c r="H25" i="20"/>
  <c r="I25" i="20"/>
  <c r="H26" i="20"/>
  <c r="I26" i="20"/>
  <c r="H27" i="20"/>
  <c r="I27" i="20"/>
  <c r="H28" i="20"/>
  <c r="I28" i="20"/>
  <c r="H29" i="20"/>
  <c r="I29" i="20"/>
  <c r="H30" i="20"/>
  <c r="I30" i="20"/>
  <c r="H31" i="20"/>
  <c r="I31" i="20"/>
  <c r="H32" i="20"/>
  <c r="I32" i="20"/>
  <c r="H33" i="20"/>
  <c r="I33" i="20"/>
  <c r="H34" i="20"/>
  <c r="I34" i="20"/>
  <c r="H35" i="20"/>
  <c r="I35" i="20"/>
  <c r="H36" i="20"/>
  <c r="I36" i="20"/>
  <c r="H37" i="20"/>
  <c r="I37" i="20"/>
  <c r="H39" i="20"/>
  <c r="I39" i="20"/>
  <c r="H40" i="20"/>
  <c r="I40" i="20"/>
  <c r="H41" i="20"/>
  <c r="I41" i="20"/>
  <c r="H42" i="20"/>
  <c r="I42" i="20"/>
  <c r="H43" i="20"/>
  <c r="I43" i="20"/>
  <c r="H44" i="20"/>
  <c r="I44" i="20"/>
  <c r="H45" i="20"/>
  <c r="I45" i="20"/>
  <c r="H46" i="20"/>
  <c r="I46" i="20"/>
  <c r="H47" i="20"/>
  <c r="I47" i="20"/>
  <c r="H48" i="20"/>
  <c r="I48" i="20"/>
  <c r="H49" i="20"/>
  <c r="I49" i="20"/>
  <c r="H50" i="20"/>
  <c r="I50" i="20"/>
  <c r="G9" i="20"/>
  <c r="F9" i="20"/>
  <c r="I146" i="20"/>
  <c r="I147" i="20"/>
  <c r="I148" i="20"/>
  <c r="H146" i="20"/>
  <c r="H147" i="20"/>
  <c r="H148" i="20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F17" i="2"/>
  <c r="F51" i="2" s="1"/>
  <c r="H12" i="26" l="1"/>
  <c r="G22" i="26"/>
  <c r="G33" i="26" s="1"/>
  <c r="H8" i="26"/>
  <c r="F22" i="26"/>
  <c r="F33" i="26" s="1"/>
  <c r="H41" i="28"/>
  <c r="I41" i="28"/>
  <c r="I155" i="20"/>
  <c r="G17" i="2"/>
  <c r="G51" i="2" s="1"/>
  <c r="I8" i="2"/>
  <c r="H155" i="20"/>
  <c r="I18" i="28"/>
  <c r="H18" i="28"/>
  <c r="I8" i="26"/>
  <c r="I12" i="26"/>
  <c r="I91" i="20"/>
  <c r="I9" i="20"/>
  <c r="F145" i="20"/>
  <c r="F8" i="20" s="1"/>
  <c r="F168" i="20" s="1"/>
  <c r="G145" i="20"/>
  <c r="I74" i="20" s="1"/>
  <c r="G8" i="20" l="1"/>
  <c r="G168" i="20" s="1"/>
  <c r="I168" i="20" s="1"/>
  <c r="F230" i="20"/>
  <c r="G230" i="20"/>
  <c r="I33" i="26"/>
  <c r="I51" i="2"/>
  <c r="I22" i="26"/>
  <c r="I17" i="2"/>
  <c r="I8" i="20"/>
  <c r="I145" i="20"/>
  <c r="E145" i="20"/>
  <c r="H145" i="20" s="1"/>
  <c r="I230" i="20" l="1"/>
  <c r="E22" i="26"/>
  <c r="E33" i="26" s="1"/>
  <c r="H33" i="26" s="1"/>
  <c r="E74" i="20"/>
  <c r="H74" i="20" s="1"/>
  <c r="E9" i="20"/>
  <c r="E8" i="2"/>
  <c r="E8" i="20" l="1"/>
  <c r="E168" i="20" s="1"/>
  <c r="E230" i="20" s="1"/>
  <c r="H22" i="26"/>
  <c r="E17" i="2"/>
  <c r="H8" i="2"/>
  <c r="H8" i="20"/>
  <c r="H9" i="20"/>
  <c r="H17" i="2" l="1"/>
  <c r="E51" i="2"/>
  <c r="H51" i="2" s="1"/>
  <c r="H230" i="20"/>
  <c r="H168" i="20" l="1"/>
  <c r="H8" i="27"/>
  <c r="H21" i="27"/>
  <c r="E33" i="27" l="1"/>
</calcChain>
</file>

<file path=xl/sharedStrings.xml><?xml version="1.0" encoding="utf-8"?>
<sst xmlns="http://schemas.openxmlformats.org/spreadsheetml/2006/main" count="1380" uniqueCount="536">
  <si>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</si>
  <si>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</si>
  <si>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</si>
  <si>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</si>
  <si>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</si>
  <si>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</si>
  <si>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</si>
  <si>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</si>
  <si>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</si>
  <si>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</si>
  <si>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</si>
  <si>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</si>
  <si>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</si>
  <si>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</si>
  <si>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</si>
  <si>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</si>
  <si>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</si>
  <si>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</si>
  <si>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</si>
  <si>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</si>
  <si>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</si>
  <si>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</si>
  <si>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</si>
  <si>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</si>
  <si>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</si>
  <si>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</si>
  <si>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</si>
  <si>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</si>
  <si>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</si>
  <si>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</si>
  <si>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</si>
  <si>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</si>
  <si>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</si>
  <si>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</si>
  <si>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</si>
  <si>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</si>
  <si>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</si>
  <si>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</si>
  <si>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</si>
  <si>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</si>
  <si>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</si>
  <si>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</si>
  <si>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</si>
  <si>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</si>
  <si>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</si>
  <si>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</si>
  <si>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</si>
  <si>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</si>
  <si>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</si>
  <si>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</si>
  <si>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</si>
  <si>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</si>
  <si>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</si>
  <si>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</si>
  <si>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</si>
  <si>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</si>
  <si>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</si>
  <si>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</si>
  <si>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</si>
  <si>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</si>
  <si>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</si>
  <si>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</si>
  <si>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</si>
  <si>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</si>
  <si>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</si>
  <si>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</si>
  <si>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</si>
  <si>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</si>
  <si>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</si>
  <si>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</si>
  <si>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</si>
  <si>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</si>
  <si>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</si>
  <si>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</si>
  <si>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</si>
  <si>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</si>
  <si>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</si>
  <si>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</si>
  <si>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</si>
  <si>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</si>
  <si>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</si>
  <si>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</si>
  <si>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</si>
  <si>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</si>
  <si>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</si>
  <si>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</si>
  <si>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</si>
  <si>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</si>
  <si>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</si>
  <si>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</si>
  <si>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</si>
  <si>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</si>
  <si>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</si>
  <si>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</si>
  <si>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</si>
  <si>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</si>
  <si>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</si>
  <si>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</si>
  <si>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</si>
  <si>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</si>
  <si>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</si>
  <si>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</si>
  <si>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</si>
  <si>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</si>
  <si>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</si>
  <si>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</si>
  <si>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</si>
  <si>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</si>
  <si>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</si>
  <si>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</si>
  <si>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</si>
  <si>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</si>
  <si>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</si>
  <si>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</si>
  <si>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</si>
  <si>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</si>
  <si>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</si>
  <si>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</si>
  <si>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</si>
  <si>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</si>
  <si>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</si>
  <si>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</si>
  <si>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</si>
  <si>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</si>
  <si>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</si>
  <si>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</si>
  <si>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</si>
  <si>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</si>
  <si>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</si>
  <si>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</si>
  <si>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</si>
  <si>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</si>
  <si>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</si>
  <si>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</si>
  <si>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</si>
  <si>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</si>
  <si>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</si>
  <si>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</si>
  <si>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</si>
  <si>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</si>
  <si>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</si>
  <si>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</si>
  <si>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</si>
  <si>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</si>
  <si>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</si>
  <si>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</si>
  <si>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</si>
  <si>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</si>
  <si>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</si>
  <si>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</si>
  <si>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</si>
  <si>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</si>
  <si>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</si>
  <si>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</si>
  <si>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</si>
  <si>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</si>
  <si>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</si>
  <si>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</si>
  <si>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</si>
  <si>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</si>
  <si>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</si>
  <si>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</si>
  <si>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</si>
  <si>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</si>
  <si>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</si>
  <si>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</si>
  <si>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</si>
  <si>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</si>
  <si>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</si>
  <si>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</si>
  <si>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</si>
  <si>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</si>
  <si>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</si>
  <si>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</si>
  <si>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</si>
  <si>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</si>
  <si>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</si>
  <si>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</si>
  <si>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</si>
  <si>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</si>
  <si>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</si>
  <si>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</si>
  <si>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</si>
  <si>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</si>
  <si>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</si>
  <si>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</si>
  <si>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</si>
  <si>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</si>
  <si>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</si>
  <si>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</si>
  <si>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</si>
  <si>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</si>
  <si>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</si>
  <si>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</si>
  <si>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</si>
  <si>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</si>
  <si>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</si>
  <si>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</si>
  <si>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</si>
  <si>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</si>
  <si>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</si>
  <si>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</si>
  <si>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</si>
  <si>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</si>
  <si>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</si>
  <si>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</si>
  <si>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</si>
  <si>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</si>
  <si>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</si>
  <si>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</si>
  <si>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</si>
  <si>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</si>
  <si>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</si>
  <si>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</si>
  <si>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</si>
  <si>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</si>
  <si>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</si>
  <si>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</si>
  <si>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</si>
  <si>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</si>
  <si>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</si>
  <si>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</si>
  <si>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</si>
  <si>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</si>
  <si>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</si>
  <si>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</si>
  <si>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ZŠ a MŠ "Na Slovance"</t>
  </si>
  <si>
    <t>Servisní středisko pro správu</t>
  </si>
  <si>
    <t>3149 - ostatní zařízení související</t>
  </si>
  <si>
    <t>svěřeného majetku (SeS) MČ Praha 8</t>
  </si>
  <si>
    <t>pol. 5331 - neinv. příspěvky zřízeným přísp.org.</t>
  </si>
  <si>
    <t>úklid exkrementů</t>
  </si>
  <si>
    <t>odbor územního rozvoje a výstavby ÚMČ</t>
  </si>
  <si>
    <t>58</t>
  </si>
  <si>
    <t>55</t>
  </si>
  <si>
    <t>v %</t>
  </si>
  <si>
    <t>(v tis. Kč)</t>
  </si>
  <si>
    <t>zřízených Městskou částí Praha 8</t>
  </si>
  <si>
    <t>618</t>
  </si>
  <si>
    <t>3419 - ostatní tělovýchovná činnost</t>
  </si>
  <si>
    <t>0417</t>
  </si>
  <si>
    <t>právní služby</t>
  </si>
  <si>
    <t>opravy tiskového parku a ostatního HW</t>
  </si>
  <si>
    <t>oddělení evropských fondů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</si>
  <si>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</si>
  <si>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</si>
  <si>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</si>
  <si>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</si>
  <si>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</si>
  <si>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</si>
  <si>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</si>
  <si>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</si>
  <si>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</si>
  <si>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>provoz odpadkových košů na psí exkrementy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</si>
  <si>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</si>
  <si>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</si>
  <si>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</si>
  <si>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</si>
  <si>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</si>
  <si>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</si>
  <si>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</si>
  <si>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</si>
  <si>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</si>
  <si>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</si>
  <si>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</si>
  <si>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</si>
  <si>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</si>
  <si>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>z toho: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</si>
  <si>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</si>
  <si>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</si>
  <si>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</si>
  <si>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</si>
  <si>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</si>
  <si>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 xml:space="preserve">           primární prevence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</si>
  <si>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</si>
  <si>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</si>
  <si>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</si>
  <si>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</si>
  <si>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</si>
  <si>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pol. 5192 - poskytnuté náhrady</t>
  </si>
  <si>
    <t>poskytnuté  náhrady</t>
  </si>
  <si>
    <t>analýzy dopravy</t>
  </si>
  <si>
    <t>úhrady sankcí</t>
  </si>
  <si>
    <t>pol. 5363 - úhrady sankcí</t>
  </si>
  <si>
    <t>péče památkové zóny, drobná umělecká díla</t>
  </si>
  <si>
    <t>fotokabinky s biometrickými daty</t>
  </si>
  <si>
    <t>cena Eduarda Štorcha</t>
  </si>
  <si>
    <t>projekt "Osmička - úřad vstřícný rodině"</t>
  </si>
  <si>
    <t>zpracování urbanistické studie a strategických vizí</t>
  </si>
  <si>
    <t xml:space="preserve">veřejná zeleň </t>
  </si>
  <si>
    <t>příspěvek - nemoci z povolání</t>
  </si>
  <si>
    <t>odbor životního prostředí ÚMČ</t>
  </si>
  <si>
    <t>na rok 2019</t>
  </si>
  <si>
    <t>analytické a poradenské služby</t>
  </si>
  <si>
    <t>Sociální a ošetřovatelské služby (SOS) v Praze 8</t>
  </si>
  <si>
    <t>ost. kulturní činnost, vč. vedení kroniky, oslava 100 let Republiky</t>
  </si>
  <si>
    <t xml:space="preserve">          náklady na stravování žáků</t>
  </si>
  <si>
    <t xml:space="preserve">          vybavení objektu Pernerova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</si>
  <si>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</si>
  <si>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</si>
  <si>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</si>
  <si>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</si>
  <si>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</si>
  <si>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9115</t>
  </si>
  <si>
    <t>0525</t>
  </si>
  <si>
    <t>odbor zdravotnictví a sociálních služeb ÚMČ</t>
  </si>
  <si>
    <t>Nová Palmovka - právní služby</t>
  </si>
  <si>
    <t>Nová Palmovka BV (BOZP, odměna OSMS)</t>
  </si>
  <si>
    <t>elektrická energie mobilní kluziště + veřejné osvětlení parkoviště Nekvasilova</t>
  </si>
  <si>
    <t>3 mobilní kluziště</t>
  </si>
  <si>
    <t>odstranění sloupů hlásné služby</t>
  </si>
  <si>
    <t>0131</t>
  </si>
  <si>
    <t>oddělení architekta MČ a strategického rozvoje</t>
  </si>
  <si>
    <t>odbor občansko-správní ÚMČ</t>
  </si>
  <si>
    <t>0906</t>
  </si>
  <si>
    <t>konzul. a poradenská činnost</t>
  </si>
  <si>
    <t>Post Bellum - příběhy našich sousedů</t>
  </si>
  <si>
    <t>dar</t>
  </si>
  <si>
    <t>JDH (jednotka dobrovolných hasičů)</t>
  </si>
  <si>
    <t>trhy</t>
  </si>
  <si>
    <t>Skutečnost</t>
  </si>
  <si>
    <t>k</t>
  </si>
  <si>
    <t xml:space="preserve">Plnění </t>
  </si>
  <si>
    <t>k SR</t>
  </si>
  <si>
    <t>k RZ</t>
  </si>
  <si>
    <t>rozpočet (SR)</t>
  </si>
  <si>
    <t>Rozpočet</t>
  </si>
  <si>
    <t>po změnách (RZ)</t>
  </si>
  <si>
    <r>
      <t xml:space="preserve"> </t>
    </r>
    <r>
      <rPr>
        <b/>
        <sz val="12"/>
        <rFont val="Arial CE"/>
        <charset val="238"/>
      </rPr>
      <t>Běžné (neinvestiční)  a kapitálové (investiční) výdaje</t>
    </r>
  </si>
  <si>
    <t>neinvestiční transfery spolkům</t>
  </si>
  <si>
    <t>terénní programy</t>
  </si>
  <si>
    <t>3429 - ostatní zájmová činnost a rekreace</t>
  </si>
  <si>
    <t xml:space="preserve">dotace na sport </t>
  </si>
  <si>
    <t>sociálně právních ochrana dětí</t>
  </si>
  <si>
    <t>pěstounská péče</t>
  </si>
  <si>
    <t>623</t>
  </si>
  <si>
    <t xml:space="preserve">Schválený </t>
  </si>
  <si>
    <t xml:space="preserve">% plnění </t>
  </si>
  <si>
    <t>Kapitálové výdaje: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</si>
  <si>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</si>
  <si>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</si>
  <si>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</si>
  <si>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</si>
  <si>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</si>
  <si>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</si>
  <si>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Palmovka</t>
  </si>
  <si>
    <t>Revitalizace nám. Krynická a Pomořanská - studie a PD</t>
  </si>
  <si>
    <t>Výstavba podzemních kontejnerů - II. etapa - PD</t>
  </si>
  <si>
    <t>Florenc - revitalizace zelených ploch u metra - studie a PD</t>
  </si>
  <si>
    <t>Revitalizace ploch malého rozsahu vč. PD</t>
  </si>
  <si>
    <t>Podzemní kontejnery  - I. etapa - spoluúčast</t>
  </si>
  <si>
    <t>Revitalizace sídliště Střížkov - PD</t>
  </si>
  <si>
    <t>Psí louka Rokytka</t>
  </si>
  <si>
    <t>Rekonstrukce pěších cest Rokytka</t>
  </si>
  <si>
    <t>Výstavba hřiště Kaňkovského vč. PD</t>
  </si>
  <si>
    <t>Výstavba parku s volným pohybem psů Karlín</t>
  </si>
  <si>
    <t>Rekonstrukce schodů v parku Pod Korábem</t>
  </si>
  <si>
    <t>Stavební úpravy domovního vstupu – ul. Krynická</t>
  </si>
  <si>
    <t>Výstavba chodníků a rekonstrukce kontejnerových stání Krosenská</t>
  </si>
  <si>
    <t>Revitalizace prostr. a pozemku na parc. č. 2730/1 a 2730/3, Rokytka</t>
  </si>
  <si>
    <t>Skatepark</t>
  </si>
  <si>
    <t>Rekonstrukce cestní sítě Střelničná vč. PD</t>
  </si>
  <si>
    <t>Přestavba multifunkčního sportoviště u ZŠ Na Korábě</t>
  </si>
  <si>
    <t>0231</t>
  </si>
  <si>
    <t>Revitalizace třešňového sadu v ul. Na Truhlářce na Bílé skále</t>
  </si>
  <si>
    <t>0304</t>
  </si>
  <si>
    <t xml:space="preserve">odbor správy majetku ÚMČ </t>
  </si>
  <si>
    <t>Úprava parkovací plochy u polikliniky Mazurská</t>
  </si>
  <si>
    <t>PD - úprava bezmotorové komunikace A2 a A26</t>
  </si>
  <si>
    <t>PD - úprava bezmotorové komunikace A2</t>
  </si>
  <si>
    <t>PD - úprava bezmotorové komunikace Šaldova - Negrelliho viadukt</t>
  </si>
  <si>
    <t>PD - vybud. parkovacích stání v ul. Famfulíkova, Eledrova, Řešovská</t>
  </si>
  <si>
    <t>Vybudování bezmotorové komunikace A2 - Lib.most až Šaldova</t>
  </si>
  <si>
    <t>Multifunkční tlaková pánev</t>
  </si>
  <si>
    <t>Elektrický kotel 200 l</t>
  </si>
  <si>
    <t>Myčka do ŠJ</t>
  </si>
  <si>
    <t>Servisní středisko pro správu svěř. majetku (SeS) MČ Praha 8</t>
  </si>
  <si>
    <t>Rekonstrukce objektu - TDI</t>
  </si>
  <si>
    <t>ZŠ Lyčkovo náměstí , Pernerova 29</t>
  </si>
  <si>
    <t>Snížení energetické náročnosti</t>
  </si>
  <si>
    <t>Rekonstrukce tělocvičny a zázemí vč. PD a TDI</t>
  </si>
  <si>
    <t>Rekonstr. sociální zařízení a kanalizace v prostorech u tělocvičny vč. PD</t>
  </si>
  <si>
    <t>Rekonstrukce prostor po PPP</t>
  </si>
  <si>
    <t>Doplnění záchodových mís do WC vč. PD - požadavek hygieny</t>
  </si>
  <si>
    <t>MŠ Dolákova</t>
  </si>
  <si>
    <t>Rekonstrukce vstupního schodiště</t>
  </si>
  <si>
    <t>PD výměna kotlů dle nové vyhlášky platné od 1.1.2020</t>
  </si>
  <si>
    <t>MŠ a ZŠ</t>
  </si>
  <si>
    <t>Úprava vnitřních rozvodů ÚT a vodovodu</t>
  </si>
  <si>
    <t>MŠ Pozňanská</t>
  </si>
  <si>
    <t>Rekonstrukce rozvodů ÚT a TÚV u školních pavilónů č. 1 a 2</t>
  </si>
  <si>
    <t>Projektová příprava pro IV vč. TDI</t>
  </si>
  <si>
    <t>Investiční akce malého rozsahu</t>
  </si>
  <si>
    <t>Rekonstrukce protipožárních dvěří v prostorách tělocvičen</t>
  </si>
  <si>
    <t>ZŠ Pernerova</t>
  </si>
  <si>
    <t xml:space="preserve">PD na klubovnu a zázemí </t>
  </si>
  <si>
    <t>PD - Stadion mládeže Palmovka</t>
  </si>
  <si>
    <t>DSP ZŠ (zkapacitnění)</t>
  </si>
  <si>
    <t>ZŠ B. Hrabala - snížení energetické náročnosti</t>
  </si>
  <si>
    <t>ZŠ B. Hrabala</t>
  </si>
  <si>
    <t>MŠ Šimůnkova - snížení energetické náročnosti</t>
  </si>
  <si>
    <t>Rekonstrukce šaten a haly</t>
  </si>
  <si>
    <t>ZŠ Dolákova</t>
  </si>
  <si>
    <t>ZŠ Lyčkovo náměstí, Pernerova 29</t>
  </si>
  <si>
    <t>Národní kulturní památka Kobyliská střelnice (z roku 2015)</t>
  </si>
  <si>
    <t>0711</t>
  </si>
  <si>
    <t>odbor informatiky ÚMČ</t>
  </si>
  <si>
    <t>Rozvoj MKS, Integrace LKS do MKS</t>
  </si>
  <si>
    <t>Výstavba budovy Nová Palmovka</t>
  </si>
  <si>
    <t>PD na rekonstrukci vnitrobloku Kolpingova domu (dofakturace dle SoD)</t>
  </si>
  <si>
    <t>Výstavba rodinného centra Kobylisy</t>
  </si>
  <si>
    <t>Rekonstrukce divadla Karla Hackera - PD</t>
  </si>
  <si>
    <t xml:space="preserve">Revitalizace náměstí u KD Ládví - studie a PD </t>
  </si>
  <si>
    <t>Revitalizace náměstí a parku u KD Krakov</t>
  </si>
  <si>
    <t xml:space="preserve">PD - Revitalizace parku Dlážděnka (naučná stezka) </t>
  </si>
  <si>
    <t>Revitalizace parku Dlážděnka - I. etapa</t>
  </si>
  <si>
    <t>Kapitálové výdaje celkem</t>
  </si>
  <si>
    <t>Kapitola 01 - rozvoj obce celkem</t>
  </si>
  <si>
    <t>Kapitola 02 - městská infrastruktura celkem</t>
  </si>
  <si>
    <t>Kapitola 04 - školství, mládež a sport celkem</t>
  </si>
  <si>
    <t>Kapitola 06 - kultura a cestovní ruch celkem</t>
  </si>
  <si>
    <t>Kapitola 07 - bezpečnost celkem</t>
  </si>
  <si>
    <t>Kapitola 08 - hospodářství celkem</t>
  </si>
  <si>
    <t>Rekonstrukce ploch u NP Nekvasilova</t>
  </si>
  <si>
    <t xml:space="preserve">Reko. horizontální kanalizace Mazurská </t>
  </si>
  <si>
    <t>Kapitola 09 - vnitřní správa celkem</t>
  </si>
  <si>
    <t>Kapitola 03 - doprava celkem</t>
  </si>
  <si>
    <t>Kapitola 05 - zdravotnictví a sociální oblast celkem</t>
  </si>
  <si>
    <t>3111 - mateřské školy</t>
  </si>
  <si>
    <t>3149 - ostatní zálštitosti souvis. s výchovou a vzděl. ml.</t>
  </si>
  <si>
    <t>3613 - nebytové hospodářství</t>
  </si>
  <si>
    <t>3639 - komunální služby a úz. rozvoj</t>
  </si>
  <si>
    <t>Kapitola 10 - pokladní správa celkem</t>
  </si>
  <si>
    <t>ZŠ Lyčkovo nám. - navýšení základního vzdělávání za účelem sociální inkluze</t>
  </si>
  <si>
    <t>pol. 5182 - převody vlastní pokladně</t>
  </si>
  <si>
    <t>finanční vypořádání</t>
  </si>
  <si>
    <t>6330 - převody vl.fondů v rozpočtech úz.úrovně</t>
  </si>
  <si>
    <t>pol. 5347 - převody mezi MČ a hl. m. Prahou</t>
  </si>
  <si>
    <t>6409 - ostatní činnosti j. n.</t>
  </si>
  <si>
    <t xml:space="preserve">           podpora inkluze v MŠ Chabařovická (OP PPR)</t>
  </si>
  <si>
    <t>3326 - poříz., zachov. a obnova hodnot místního kulturního,národ. a histor.povědomí</t>
  </si>
  <si>
    <t>pol. 5136 - knihy, účební pomůcky a tisk</t>
  </si>
  <si>
    <t>pol. 5173 - cestovné (tuzemské i zahraniční)</t>
  </si>
  <si>
    <t>k 30.6.2019</t>
  </si>
  <si>
    <t>Revitalizace veřejných prostor Palmovka</t>
  </si>
  <si>
    <t>Úprava pěších cest v Thomayerových sadech</t>
  </si>
  <si>
    <t>čištění komunikací</t>
  </si>
  <si>
    <t>dary obyvatelstvu</t>
  </si>
  <si>
    <t>dary</t>
  </si>
  <si>
    <t>0504</t>
  </si>
  <si>
    <t>PD na zkapacitnění a rekonstrukci obj. polikliniky Mazurská</t>
  </si>
  <si>
    <t>poskytnuté náhrady</t>
  </si>
  <si>
    <t>3636 - územní plánování</t>
  </si>
  <si>
    <t>2220 - ost. záležitosti pozemních komunikací</t>
  </si>
  <si>
    <t>Dodání a umíst. pítka na psí louce v ul. Famfulíkova</t>
  </si>
  <si>
    <t>Umístění hydrantu a reko. odběrného místa ul. Famf</t>
  </si>
  <si>
    <t xml:space="preserve">Vybudování oplocení v ulici Zhořelecká a Ratibořská </t>
  </si>
  <si>
    <t>0402</t>
  </si>
  <si>
    <t>Vybudování fitparku</t>
  </si>
  <si>
    <t>MČ Praha 8</t>
  </si>
  <si>
    <t>2360483048216</t>
  </si>
  <si>
    <t>Modernizace zařízení a vybavení tříd v ZŠ</t>
  </si>
  <si>
    <t>2360418048916</t>
  </si>
  <si>
    <t>2541066041819</t>
  </si>
  <si>
    <t>II. etapa modernizace zařízení a vybavení tříd</t>
  </si>
  <si>
    <t>2541103041919</t>
  </si>
  <si>
    <t>ZŠ Palmovka</t>
  </si>
  <si>
    <t>2541106042019</t>
  </si>
  <si>
    <t>ZŠ P. Strozziho</t>
  </si>
  <si>
    <t>2541108042119</t>
  </si>
  <si>
    <t>KD Ládví - infostánek se skladem v prostorách foyer</t>
  </si>
  <si>
    <t>KD Ládví</t>
  </si>
  <si>
    <t>Stavební úpravy pro instalaci myčky na nádobí vč. pořízení myčky</t>
  </si>
  <si>
    <t>Odstranění objektu sauny u MŠ Dolákova</t>
  </si>
  <si>
    <t>EU - MŠ Korycanská - snížení energetické náročnosti</t>
  </si>
  <si>
    <t>EU - MŠ Řešovská - snížení energetické náročnosti</t>
  </si>
  <si>
    <t>Výstavba tělocvičny, ŠK a ŠJ</t>
  </si>
  <si>
    <t>ZŠ a MŠ Lyčkovo náměstí</t>
  </si>
  <si>
    <t>Přestavba sauny na skautskou klubovnu</t>
  </si>
  <si>
    <t>odbor evropských fondů ÚMČ</t>
  </si>
  <si>
    <t>2390409413517</t>
  </si>
  <si>
    <t>80973413517</t>
  </si>
  <si>
    <t>ZŠ Lyčkovo náměstí, Pernerova 30</t>
  </si>
  <si>
    <t>0627</t>
  </si>
  <si>
    <t>národní kulturní památka Kobyliská střelnice</t>
  </si>
  <si>
    <t>0927</t>
  </si>
  <si>
    <t xml:space="preserve">  Plnění rozpočtu městské části Praha 8 za 1. pololetí roku 2019</t>
  </si>
  <si>
    <t>0427</t>
  </si>
  <si>
    <t>0127</t>
  </si>
  <si>
    <t>0726</t>
  </si>
  <si>
    <t>odbor bezpečnosti a krizového řízení ÚMČ</t>
  </si>
  <si>
    <t xml:space="preserve"> 0127</t>
  </si>
  <si>
    <t>Nákup majetkových podílů</t>
  </si>
  <si>
    <t>3639 -komunální služby a úz. Rozvoj</t>
  </si>
  <si>
    <t>Pořízení nového kotle do NP č.501, Sokolovská 99</t>
  </si>
  <si>
    <t>pol. 5029 - ostatní platby za prov. Práci j.n.</t>
  </si>
  <si>
    <t>volby do Evrop. parlamentu</t>
  </si>
  <si>
    <t>6117 - volby do Evr. parlamentu</t>
  </si>
  <si>
    <t>osobní výdaje a náklady s nimi spojené</t>
  </si>
  <si>
    <t>výkon SPOD (UZ 13011)</t>
  </si>
  <si>
    <t>pol.5173 - cestovné</t>
  </si>
  <si>
    <t>volby do Evr. parlamentu</t>
  </si>
  <si>
    <t>Navýšení kapacity zákl. vzdělávání za účelem soc. inkluze</t>
  </si>
  <si>
    <t>str. 16/16</t>
  </si>
  <si>
    <t>str. 15/16</t>
  </si>
  <si>
    <t>str. 14/16</t>
  </si>
  <si>
    <t>str. 13/16</t>
  </si>
  <si>
    <t>str. 12/16</t>
  </si>
  <si>
    <t>str. 11/16</t>
  </si>
  <si>
    <t>str. 10/16</t>
  </si>
  <si>
    <t>str. 9/16</t>
  </si>
  <si>
    <t>str.  8/16</t>
  </si>
  <si>
    <t>str.  7/16</t>
  </si>
  <si>
    <t>str.  6/16</t>
  </si>
  <si>
    <t>str.  5/16</t>
  </si>
  <si>
    <t>str.  4/16</t>
  </si>
  <si>
    <t>str. 3/16</t>
  </si>
  <si>
    <t>str. 2/16</t>
  </si>
  <si>
    <t>str. 1/16</t>
  </si>
  <si>
    <t xml:space="preserve">         s výchovou a vzděláváním mládeže</t>
  </si>
  <si>
    <t>pol. 5901 - ostatní neinvestiční výdaje</t>
  </si>
  <si>
    <t>pol. 5909 - technické konto</t>
  </si>
  <si>
    <t>4349 - ost. soc. péče a pomoc ost. skupinám obyv.</t>
  </si>
  <si>
    <t>4351 - osobní asistence, peč. služba a podpora samostatného bydlení</t>
  </si>
  <si>
    <t>4339 - ostatní soc. péče a pomoc rod. a manželství</t>
  </si>
  <si>
    <t>3539 - ostatní zdravotnická zařízení
 a služby pro zdravotnictví</t>
  </si>
  <si>
    <t>pol. 5162 - služby telekomunikací 
a radiokomunikací</t>
  </si>
  <si>
    <t>dotace na volnoč. aktivity a kulturu</t>
  </si>
  <si>
    <t>Rekonstrukce NP z lékárny na ordinace Dr. V Holého</t>
  </si>
  <si>
    <t>Stavení úpravy NP Karlínské nám. 22</t>
  </si>
  <si>
    <t>Rekonstrukce NP  č.505 Sokolovská 46</t>
  </si>
  <si>
    <t>Rekonstrukce NP č. 504 Sokolovská 46</t>
  </si>
  <si>
    <t>6117 - volby do Evrop. parlamentu</t>
  </si>
  <si>
    <t>Zastupitelstva městské části Praha 8</t>
  </si>
  <si>
    <t>ze dne 25. září 2019</t>
  </si>
  <si>
    <t>Příoha č. 2 usnesení č. Usn ZMC 029/2019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</si>
</sst>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6"/>
      <name val="Arial CE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indexed="8"/>
      <name val="Arial CE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name val="Arial CE"/>
      <charset val="238"/>
    </font>
    <font>
      <i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71">
    <xf numFmtId="0" fontId="0" fillId="0" borderId="0" xfId="0"/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1" fillId="0" borderId="0" xfId="1"/>
    <xf numFmtId="0" fontId="6" fillId="0" borderId="1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/>
    <xf numFmtId="0" fontId="6" fillId="0" borderId="3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4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7" xfId="1" applyNumberFormat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0" fillId="0" borderId="0" xfId="0" applyFill="1"/>
    <xf numFmtId="0" fontId="5" fillId="0" borderId="0" xfId="1" applyFont="1"/>
    <xf numFmtId="0" fontId="4" fillId="0" borderId="16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left"/>
    </xf>
    <xf numFmtId="0" fontId="1" fillId="0" borderId="17" xfId="2" applyFont="1" applyFill="1" applyBorder="1"/>
    <xf numFmtId="0" fontId="1" fillId="0" borderId="0" xfId="2" applyBorder="1"/>
    <xf numFmtId="3" fontId="7" fillId="0" borderId="21" xfId="2" applyNumberFormat="1" applyFont="1" applyFill="1" applyBorder="1"/>
    <xf numFmtId="49" fontId="3" fillId="0" borderId="11" xfId="2" applyNumberFormat="1" applyFont="1" applyFill="1" applyBorder="1" applyAlignment="1">
      <alignment horizontal="center"/>
    </xf>
    <xf numFmtId="49" fontId="7" fillId="0" borderId="8" xfId="2" applyNumberFormat="1" applyFont="1" applyFill="1" applyBorder="1" applyAlignment="1">
      <alignment horizontal="center"/>
    </xf>
    <xf numFmtId="0" fontId="7" fillId="0" borderId="17" xfId="2" applyFont="1" applyFill="1" applyBorder="1"/>
    <xf numFmtId="49" fontId="3" fillId="0" borderId="21" xfId="2" applyNumberFormat="1" applyFont="1" applyFill="1" applyBorder="1" applyAlignment="1">
      <alignment horizontal="left"/>
    </xf>
    <xf numFmtId="0" fontId="3" fillId="0" borderId="21" xfId="2" applyFont="1" applyFill="1" applyBorder="1" applyAlignment="1">
      <alignment horizontal="left"/>
    </xf>
    <xf numFmtId="0" fontId="3" fillId="0" borderId="22" xfId="2" applyFont="1" applyFill="1" applyBorder="1"/>
    <xf numFmtId="49" fontId="3" fillId="0" borderId="16" xfId="2" applyNumberFormat="1" applyFont="1" applyFill="1" applyBorder="1" applyAlignment="1">
      <alignment horizontal="left"/>
    </xf>
    <xf numFmtId="0" fontId="3" fillId="0" borderId="10" xfId="2" applyFont="1" applyFill="1" applyBorder="1" applyAlignment="1">
      <alignment horizontal="left"/>
    </xf>
    <xf numFmtId="49" fontId="6" fillId="0" borderId="11" xfId="2" applyNumberFormat="1" applyFont="1" applyFill="1" applyBorder="1" applyAlignment="1">
      <alignment horizontal="center"/>
    </xf>
    <xf numFmtId="0" fontId="6" fillId="0" borderId="17" xfId="2" applyFont="1" applyFill="1" applyBorder="1"/>
    <xf numFmtId="0" fontId="3" fillId="0" borderId="20" xfId="2" applyFont="1" applyFill="1" applyBorder="1"/>
    <xf numFmtId="0" fontId="6" fillId="0" borderId="22" xfId="2" applyFont="1" applyFill="1" applyBorder="1"/>
    <xf numFmtId="49" fontId="20" fillId="0" borderId="21" xfId="2" applyNumberFormat="1" applyFont="1" applyFill="1" applyBorder="1" applyAlignment="1">
      <alignment horizontal="center"/>
    </xf>
    <xf numFmtId="49" fontId="6" fillId="0" borderId="15" xfId="2" applyNumberFormat="1" applyFont="1" applyFill="1" applyBorder="1" applyAlignment="1">
      <alignment horizontal="center"/>
    </xf>
    <xf numFmtId="49" fontId="6" fillId="0" borderId="14" xfId="2" applyNumberFormat="1" applyFont="1" applyFill="1" applyBorder="1" applyAlignment="1">
      <alignment horizontal="left"/>
    </xf>
    <xf numFmtId="0" fontId="6" fillId="0" borderId="14" xfId="2" applyFont="1" applyFill="1" applyBorder="1" applyAlignment="1">
      <alignment horizontal="left"/>
    </xf>
    <xf numFmtId="0" fontId="3" fillId="0" borderId="12" xfId="2" applyFont="1" applyFill="1" applyBorder="1"/>
    <xf numFmtId="0" fontId="0" fillId="2" borderId="0" xfId="0" applyFill="1"/>
    <xf numFmtId="3" fontId="1" fillId="0" borderId="21" xfId="2" applyNumberFormat="1" applyFont="1" applyBorder="1"/>
    <xf numFmtId="0" fontId="23" fillId="0" borderId="0" xfId="0" applyFont="1"/>
    <xf numFmtId="0" fontId="4" fillId="0" borderId="45" xfId="1" applyFont="1" applyFill="1" applyBorder="1" applyAlignment="1"/>
    <xf numFmtId="0" fontId="1" fillId="0" borderId="10" xfId="1" applyFill="1" applyBorder="1" applyAlignment="1"/>
    <xf numFmtId="3" fontId="1" fillId="2" borderId="21" xfId="2" applyNumberFormat="1" applyFont="1" applyFill="1" applyBorder="1"/>
    <xf numFmtId="3" fontId="7" fillId="2" borderId="21" xfId="0" applyNumberFormat="1" applyFont="1" applyFill="1" applyBorder="1"/>
    <xf numFmtId="3" fontId="1" fillId="0" borderId="14" xfId="2" applyNumberFormat="1" applyFont="1" applyBorder="1"/>
    <xf numFmtId="0" fontId="0" fillId="0" borderId="0" xfId="0" applyAlignment="1">
      <alignment horizontal="right"/>
    </xf>
    <xf numFmtId="0" fontId="4" fillId="0" borderId="38" xfId="2" applyFont="1" applyFill="1" applyBorder="1" applyAlignment="1">
      <alignment vertical="center"/>
    </xf>
    <xf numFmtId="3" fontId="23" fillId="0" borderId="0" xfId="0" applyNumberFormat="1" applyFont="1"/>
    <xf numFmtId="0" fontId="19" fillId="2" borderId="22" xfId="0" applyFont="1" applyFill="1" applyBorder="1"/>
    <xf numFmtId="0" fontId="19" fillId="2" borderId="21" xfId="0" applyFont="1" applyFill="1" applyBorder="1"/>
    <xf numFmtId="0" fontId="19" fillId="2" borderId="21" xfId="0" applyFont="1" applyFill="1" applyBorder="1" applyAlignment="1">
      <alignment horizontal="left"/>
    </xf>
    <xf numFmtId="0" fontId="19" fillId="2" borderId="14" xfId="0" applyFont="1" applyFill="1" applyBorder="1"/>
    <xf numFmtId="0" fontId="19" fillId="2" borderId="16" xfId="0" applyFont="1" applyFill="1" applyBorder="1"/>
    <xf numFmtId="0" fontId="12" fillId="2" borderId="22" xfId="0" applyFont="1" applyFill="1" applyBorder="1"/>
    <xf numFmtId="3" fontId="12" fillId="2" borderId="21" xfId="0" applyNumberFormat="1" applyFont="1" applyFill="1" applyBorder="1"/>
    <xf numFmtId="49" fontId="19" fillId="2" borderId="20" xfId="0" applyNumberFormat="1" applyFont="1" applyFill="1" applyBorder="1" applyAlignment="1">
      <alignment horizontal="center"/>
    </xf>
    <xf numFmtId="0" fontId="4" fillId="0" borderId="0" xfId="1" applyFont="1" applyFill="1"/>
    <xf numFmtId="0" fontId="3" fillId="0" borderId="0" xfId="1" applyFont="1" applyFill="1"/>
    <xf numFmtId="0" fontId="1" fillId="0" borderId="0" xfId="1" applyFont="1" applyFill="1"/>
    <xf numFmtId="49" fontId="7" fillId="2" borderId="11" xfId="0" applyNumberFormat="1" applyFont="1" applyFill="1" applyBorder="1" applyAlignment="1">
      <alignment horizontal="center"/>
    </xf>
    <xf numFmtId="0" fontId="7" fillId="2" borderId="14" xfId="2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12" fillId="2" borderId="21" xfId="0" applyFont="1" applyFill="1" applyBorder="1"/>
    <xf numFmtId="0" fontId="12" fillId="2" borderId="0" xfId="0" applyFont="1" applyFill="1" applyBorder="1"/>
    <xf numFmtId="3" fontId="1" fillId="0" borderId="21" xfId="0" applyNumberFormat="1" applyFont="1" applyBorder="1"/>
    <xf numFmtId="49" fontId="7" fillId="2" borderId="8" xfId="0" applyNumberFormat="1" applyFont="1" applyFill="1" applyBorder="1" applyAlignment="1">
      <alignment horizontal="center"/>
    </xf>
    <xf numFmtId="0" fontId="7" fillId="2" borderId="17" xfId="0" applyFont="1" applyFill="1" applyBorder="1"/>
    <xf numFmtId="0" fontId="19" fillId="2" borderId="11" xfId="0" applyFont="1" applyFill="1" applyBorder="1"/>
    <xf numFmtId="0" fontId="7" fillId="2" borderId="21" xfId="0" applyFont="1" applyFill="1" applyBorder="1"/>
    <xf numFmtId="0" fontId="6" fillId="2" borderId="3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19" fillId="2" borderId="43" xfId="0" applyNumberFormat="1" applyFont="1" applyFill="1" applyBorder="1" applyAlignment="1">
      <alignment horizontal="center"/>
    </xf>
    <xf numFmtId="0" fontId="19" fillId="2" borderId="4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center"/>
    </xf>
    <xf numFmtId="49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left"/>
    </xf>
    <xf numFmtId="0" fontId="19" fillId="2" borderId="0" xfId="0" applyFont="1" applyFill="1" applyBorder="1"/>
    <xf numFmtId="0" fontId="19" fillId="2" borderId="21" xfId="0" applyFont="1" applyFill="1" applyBorder="1" applyAlignment="1">
      <alignment horizontal="center"/>
    </xf>
    <xf numFmtId="0" fontId="1" fillId="2" borderId="41" xfId="0" applyFont="1" applyFill="1" applyBorder="1"/>
    <xf numFmtId="0" fontId="27" fillId="0" borderId="34" xfId="0" applyFont="1" applyFill="1" applyBorder="1"/>
    <xf numFmtId="0" fontId="3" fillId="0" borderId="16" xfId="2" applyFont="1" applyFill="1" applyBorder="1" applyAlignment="1">
      <alignment horizontal="left"/>
    </xf>
    <xf numFmtId="165" fontId="0" fillId="0" borderId="34" xfId="0" applyNumberFormat="1" applyBorder="1"/>
    <xf numFmtId="165" fontId="17" fillId="0" borderId="2" xfId="0" applyNumberFormat="1" applyFont="1" applyFill="1" applyBorder="1" applyAlignment="1">
      <alignment horizontal="center"/>
    </xf>
    <xf numFmtId="165" fontId="17" fillId="0" borderId="4" xfId="0" applyNumberFormat="1" applyFont="1" applyFill="1" applyBorder="1" applyAlignment="1">
      <alignment horizontal="center"/>
    </xf>
    <xf numFmtId="4" fontId="0" fillId="0" borderId="34" xfId="0" applyNumberFormat="1" applyBorder="1"/>
    <xf numFmtId="4" fontId="0" fillId="0" borderId="61" xfId="0" applyNumberFormat="1" applyBorder="1"/>
    <xf numFmtId="165" fontId="0" fillId="0" borderId="0" xfId="0" applyNumberFormat="1" applyFill="1"/>
    <xf numFmtId="165" fontId="0" fillId="0" borderId="0" xfId="0" applyNumberFormat="1" applyFill="1" applyAlignment="1">
      <alignment horizontal="right"/>
    </xf>
    <xf numFmtId="3" fontId="0" fillId="0" borderId="0" xfId="0" applyNumberFormat="1" applyFill="1"/>
    <xf numFmtId="3" fontId="0" fillId="0" borderId="60" xfId="0" applyNumberFormat="1" applyBorder="1"/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4" fontId="17" fillId="0" borderId="2" xfId="0" applyNumberFormat="1" applyFont="1" applyFill="1" applyBorder="1" applyAlignment="1">
      <alignment horizontal="center"/>
    </xf>
    <xf numFmtId="4" fontId="7" fillId="0" borderId="49" xfId="0" applyNumberFormat="1" applyFont="1" applyBorder="1" applyAlignment="1">
      <alignment horizontal="center"/>
    </xf>
    <xf numFmtId="4" fontId="17" fillId="0" borderId="4" xfId="0" applyNumberFormat="1" applyFont="1" applyFill="1" applyBorder="1" applyAlignment="1">
      <alignment horizontal="center"/>
    </xf>
    <xf numFmtId="4" fontId="7" fillId="0" borderId="50" xfId="0" applyNumberFormat="1" applyFont="1" applyBorder="1" applyAlignment="1">
      <alignment horizontal="center"/>
    </xf>
    <xf numFmtId="49" fontId="17" fillId="0" borderId="29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4" fontId="0" fillId="2" borderId="0" xfId="0" applyNumberFormat="1" applyFill="1"/>
    <xf numFmtId="4" fontId="0" fillId="0" borderId="0" xfId="0" applyNumberFormat="1"/>
    <xf numFmtId="165" fontId="7" fillId="0" borderId="21" xfId="2" applyNumberFormat="1" applyFont="1" applyFill="1" applyBorder="1"/>
    <xf numFmtId="0" fontId="17" fillId="0" borderId="55" xfId="0" applyFont="1" applyFill="1" applyBorder="1" applyAlignment="1">
      <alignment horizontal="center"/>
    </xf>
    <xf numFmtId="0" fontId="17" fillId="0" borderId="49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7" fillId="0" borderId="50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0" fillId="0" borderId="16" xfId="0" applyBorder="1"/>
    <xf numFmtId="0" fontId="0" fillId="0" borderId="42" xfId="0" applyBorder="1"/>
    <xf numFmtId="49" fontId="19" fillId="2" borderId="21" xfId="0" applyNumberFormat="1" applyFont="1" applyFill="1" applyBorder="1" applyAlignment="1">
      <alignment horizontal="center"/>
    </xf>
    <xf numFmtId="0" fontId="30" fillId="0" borderId="0" xfId="1" applyFont="1" applyAlignment="1">
      <alignment horizontal="right"/>
    </xf>
    <xf numFmtId="0" fontId="1" fillId="0" borderId="16" xfId="1" applyFill="1" applyBorder="1" applyAlignment="1"/>
    <xf numFmtId="0" fontId="23" fillId="0" borderId="16" xfId="0" applyFont="1" applyBorder="1"/>
    <xf numFmtId="165" fontId="1" fillId="0" borderId="21" xfId="2" applyNumberFormat="1" applyFont="1" applyBorder="1"/>
    <xf numFmtId="165" fontId="1" fillId="2" borderId="21" xfId="2" applyNumberFormat="1" applyFont="1" applyFill="1" applyBorder="1"/>
    <xf numFmtId="165" fontId="1" fillId="0" borderId="14" xfId="2" applyNumberFormat="1" applyFont="1" applyBorder="1"/>
    <xf numFmtId="4" fontId="17" fillId="0" borderId="21" xfId="0" applyNumberFormat="1" applyFont="1" applyFill="1" applyBorder="1"/>
    <xf numFmtId="4" fontId="17" fillId="0" borderId="57" xfId="0" applyNumberFormat="1" applyFont="1" applyFill="1" applyBorder="1"/>
    <xf numFmtId="49" fontId="3" fillId="0" borderId="8" xfId="2" applyNumberFormat="1" applyFont="1" applyFill="1" applyBorder="1" applyAlignment="1">
      <alignment horizontal="center"/>
    </xf>
    <xf numFmtId="0" fontId="4" fillId="0" borderId="69" xfId="1" applyFont="1" applyFill="1" applyBorder="1" applyAlignment="1">
      <alignment horizontal="left"/>
    </xf>
    <xf numFmtId="0" fontId="1" fillId="0" borderId="60" xfId="1" applyFont="1" applyFill="1" applyBorder="1" applyAlignment="1"/>
    <xf numFmtId="0" fontId="1" fillId="0" borderId="34" xfId="1" applyFont="1" applyFill="1" applyBorder="1" applyAlignment="1"/>
    <xf numFmtId="0" fontId="0" fillId="0" borderId="0" xfId="0" applyFill="1" applyAlignment="1"/>
    <xf numFmtId="165" fontId="7" fillId="2" borderId="21" xfId="0" applyNumberFormat="1" applyFont="1" applyFill="1" applyBorder="1"/>
    <xf numFmtId="165" fontId="12" fillId="2" borderId="21" xfId="0" applyNumberFormat="1" applyFont="1" applyFill="1" applyBorder="1"/>
    <xf numFmtId="4" fontId="0" fillId="0" borderId="21" xfId="0" applyNumberFormat="1" applyBorder="1"/>
    <xf numFmtId="4" fontId="0" fillId="0" borderId="57" xfId="0" applyNumberFormat="1" applyBorder="1"/>
    <xf numFmtId="3" fontId="2" fillId="0" borderId="27" xfId="2" applyNumberFormat="1" applyFont="1" applyFill="1" applyBorder="1" applyAlignment="1">
      <alignment vertical="center"/>
    </xf>
    <xf numFmtId="165" fontId="2" fillId="0" borderId="27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" fontId="33" fillId="0" borderId="14" xfId="0" applyNumberFormat="1" applyFont="1" applyBorder="1"/>
    <xf numFmtId="4" fontId="33" fillId="0" borderId="35" xfId="0" applyNumberFormat="1" applyFont="1" applyBorder="1"/>
    <xf numFmtId="4" fontId="2" fillId="0" borderId="27" xfId="2" applyNumberFormat="1" applyFont="1" applyFill="1" applyBorder="1" applyAlignment="1">
      <alignment vertical="center"/>
    </xf>
    <xf numFmtId="4" fontId="2" fillId="0" borderId="62" xfId="2" applyNumberFormat="1" applyFont="1" applyFill="1" applyBorder="1" applyAlignment="1">
      <alignment vertical="center"/>
    </xf>
    <xf numFmtId="3" fontId="2" fillId="2" borderId="27" xfId="0" applyNumberFormat="1" applyFont="1" applyFill="1" applyBorder="1" applyAlignment="1">
      <alignment vertical="center"/>
    </xf>
    <xf numFmtId="0" fontId="9" fillId="2" borderId="14" xfId="2" applyFont="1" applyFill="1" applyBorder="1" applyAlignment="1">
      <alignment horizontal="left"/>
    </xf>
    <xf numFmtId="4" fontId="1" fillId="2" borderId="10" xfId="0" applyNumberFormat="1" applyFont="1" applyFill="1" applyBorder="1"/>
    <xf numFmtId="4" fontId="1" fillId="2" borderId="42" xfId="0" applyNumberFormat="1" applyFont="1" applyFill="1" applyBorder="1"/>
    <xf numFmtId="0" fontId="12" fillId="2" borderId="20" xfId="0" applyFont="1" applyFill="1" applyBorder="1" applyAlignment="1">
      <alignment horizontal="left"/>
    </xf>
    <xf numFmtId="0" fontId="12" fillId="2" borderId="22" xfId="0" applyFont="1" applyFill="1" applyBorder="1" applyAlignment="1">
      <alignment horizontal="left"/>
    </xf>
    <xf numFmtId="0" fontId="9" fillId="2" borderId="21" xfId="2" applyFont="1" applyFill="1" applyBorder="1" applyAlignment="1">
      <alignment horizontal="left"/>
    </xf>
    <xf numFmtId="3" fontId="1" fillId="0" borderId="14" xfId="0" applyNumberFormat="1" applyFont="1" applyBorder="1"/>
    <xf numFmtId="0" fontId="0" fillId="3" borderId="0" xfId="0" applyFill="1"/>
    <xf numFmtId="14" fontId="17" fillId="0" borderId="39" xfId="0" applyNumberFormat="1" applyFont="1" applyFill="1" applyBorder="1" applyAlignment="1">
      <alignment horizontal="center"/>
    </xf>
    <xf numFmtId="165" fontId="0" fillId="3" borderId="0" xfId="0" applyNumberFormat="1" applyFill="1"/>
    <xf numFmtId="3" fontId="0" fillId="3" borderId="0" xfId="0" applyNumberFormat="1" applyFill="1"/>
    <xf numFmtId="0" fontId="4" fillId="2" borderId="25" xfId="2" applyFont="1" applyFill="1" applyBorder="1" applyAlignment="1"/>
    <xf numFmtId="0" fontId="4" fillId="2" borderId="36" xfId="2" applyFont="1" applyFill="1" applyBorder="1" applyAlignment="1"/>
    <xf numFmtId="0" fontId="4" fillId="2" borderId="36" xfId="2" applyFont="1" applyFill="1" applyBorder="1"/>
    <xf numFmtId="165" fontId="0" fillId="2" borderId="0" xfId="0" applyNumberFormat="1" applyFill="1"/>
    <xf numFmtId="3" fontId="0" fillId="2" borderId="0" xfId="0" applyNumberFormat="1" applyFill="1"/>
    <xf numFmtId="4" fontId="0" fillId="3" borderId="0" xfId="0" applyNumberFormat="1" applyFill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50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9" fontId="6" fillId="2" borderId="7" xfId="1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14" fontId="17" fillId="2" borderId="39" xfId="0" applyNumberFormat="1" applyFont="1" applyFill="1" applyBorder="1" applyAlignment="1">
      <alignment horizontal="center"/>
    </xf>
    <xf numFmtId="0" fontId="17" fillId="2" borderId="39" xfId="0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2" borderId="34" xfId="0" applyFill="1" applyBorder="1"/>
    <xf numFmtId="0" fontId="0" fillId="2" borderId="10" xfId="0" applyFill="1" applyBorder="1"/>
    <xf numFmtId="0" fontId="0" fillId="2" borderId="42" xfId="0" applyFill="1" applyBorder="1"/>
    <xf numFmtId="4" fontId="7" fillId="2" borderId="10" xfId="0" applyNumberFormat="1" applyFont="1" applyFill="1" applyBorder="1"/>
    <xf numFmtId="4" fontId="7" fillId="2" borderId="42" xfId="0" applyNumberFormat="1" applyFont="1" applyFill="1" applyBorder="1"/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" fontId="7" fillId="2" borderId="21" xfId="0" applyNumberFormat="1" applyFont="1" applyFill="1" applyBorder="1"/>
    <xf numFmtId="4" fontId="1" fillId="2" borderId="21" xfId="0" applyNumberFormat="1" applyFont="1" applyFill="1" applyBorder="1"/>
    <xf numFmtId="0" fontId="0" fillId="2" borderId="0" xfId="0" applyFill="1" applyBorder="1"/>
    <xf numFmtId="4" fontId="2" fillId="2" borderId="62" xfId="0" applyNumberFormat="1" applyFont="1" applyFill="1" applyBorder="1" applyAlignment="1">
      <alignment vertical="center"/>
    </xf>
    <xf numFmtId="165" fontId="3" fillId="0" borderId="21" xfId="2" applyNumberFormat="1" applyFont="1" applyFill="1" applyBorder="1"/>
    <xf numFmtId="3" fontId="1" fillId="0" borderId="19" xfId="0" applyNumberFormat="1" applyFont="1" applyFill="1" applyBorder="1"/>
    <xf numFmtId="4" fontId="1" fillId="0" borderId="16" xfId="2" applyNumberFormat="1" applyFont="1" applyFill="1" applyBorder="1"/>
    <xf numFmtId="4" fontId="1" fillId="0" borderId="52" xfId="0" applyNumberFormat="1" applyFont="1" applyFill="1" applyBorder="1"/>
    <xf numFmtId="4" fontId="1" fillId="0" borderId="21" xfId="2" applyNumberFormat="1" applyFont="1" applyFill="1" applyBorder="1"/>
    <xf numFmtId="4" fontId="1" fillId="0" borderId="51" xfId="0" applyNumberFormat="1" applyFont="1" applyFill="1" applyBorder="1"/>
    <xf numFmtId="4" fontId="7" fillId="0" borderId="16" xfId="2" applyNumberFormat="1" applyFont="1" applyFill="1" applyBorder="1"/>
    <xf numFmtId="4" fontId="7" fillId="0" borderId="52" xfId="0" applyNumberFormat="1" applyFont="1" applyFill="1" applyBorder="1"/>
    <xf numFmtId="4" fontId="7" fillId="0" borderId="21" xfId="2" applyNumberFormat="1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/>
    <xf numFmtId="3" fontId="4" fillId="0" borderId="0" xfId="2" applyNumberFormat="1" applyFont="1" applyFill="1" applyBorder="1"/>
    <xf numFmtId="165" fontId="4" fillId="0" borderId="0" xfId="2" applyNumberFormat="1" applyFont="1" applyFill="1" applyBorder="1"/>
    <xf numFmtId="4" fontId="13" fillId="0" borderId="0" xfId="0" applyNumberFormat="1" applyFont="1" applyFill="1" applyBorder="1"/>
    <xf numFmtId="0" fontId="4" fillId="0" borderId="0" xfId="1" applyFont="1" applyFill="1" applyBorder="1" applyAlignment="1"/>
    <xf numFmtId="0" fontId="4" fillId="0" borderId="0" xfId="1" applyFont="1" applyFill="1" applyBorder="1"/>
    <xf numFmtId="4" fontId="3" fillId="0" borderId="0" xfId="2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165" fontId="19" fillId="0" borderId="21" xfId="2" applyNumberFormat="1" applyFont="1" applyFill="1" applyBorder="1"/>
    <xf numFmtId="3" fontId="19" fillId="0" borderId="19" xfId="0" applyNumberFormat="1" applyFont="1" applyFill="1" applyBorder="1"/>
    <xf numFmtId="4" fontId="19" fillId="0" borderId="16" xfId="2" applyNumberFormat="1" applyFont="1" applyFill="1" applyBorder="1"/>
    <xf numFmtId="4" fontId="19" fillId="0" borderId="52" xfId="0" applyNumberFormat="1" applyFont="1" applyFill="1" applyBorder="1"/>
    <xf numFmtId="165" fontId="11" fillId="0" borderId="21" xfId="2" applyNumberFormat="1" applyFont="1" applyFill="1" applyBorder="1"/>
    <xf numFmtId="165" fontId="12" fillId="0" borderId="16" xfId="0" applyNumberFormat="1" applyFont="1" applyFill="1" applyBorder="1" applyAlignment="1">
      <alignment horizontal="right"/>
    </xf>
    <xf numFmtId="4" fontId="12" fillId="0" borderId="16" xfId="0" applyNumberFormat="1" applyFont="1" applyFill="1" applyBorder="1" applyAlignment="1">
      <alignment horizontal="right"/>
    </xf>
    <xf numFmtId="4" fontId="12" fillId="0" borderId="42" xfId="0" applyNumberFormat="1" applyFont="1" applyFill="1" applyBorder="1" applyAlignment="1">
      <alignment horizontal="right"/>
    </xf>
    <xf numFmtId="165" fontId="11" fillId="0" borderId="40" xfId="2" applyNumberFormat="1" applyFont="1" applyFill="1" applyBorder="1"/>
    <xf numFmtId="3" fontId="19" fillId="0" borderId="40" xfId="0" applyNumberFormat="1" applyFont="1" applyFill="1" applyBorder="1"/>
    <xf numFmtId="4" fontId="19" fillId="0" borderId="40" xfId="2" applyNumberFormat="1" applyFont="1" applyFill="1" applyBorder="1"/>
    <xf numFmtId="4" fontId="19" fillId="0" borderId="53" xfId="0" applyNumberFormat="1" applyFont="1" applyFill="1" applyBorder="1"/>
    <xf numFmtId="3" fontId="19" fillId="0" borderId="9" xfId="2" applyNumberFormat="1" applyFont="1" applyFill="1" applyBorder="1"/>
    <xf numFmtId="4" fontId="19" fillId="0" borderId="21" xfId="2" applyNumberFormat="1" applyFont="1" applyFill="1" applyBorder="1"/>
    <xf numFmtId="4" fontId="19" fillId="0" borderId="51" xfId="0" applyNumberFormat="1" applyFont="1" applyFill="1" applyBorder="1"/>
    <xf numFmtId="49" fontId="3" fillId="0" borderId="0" xfId="2" applyNumberFormat="1" applyFont="1" applyFill="1" applyBorder="1" applyAlignment="1">
      <alignment horizontal="center"/>
    </xf>
    <xf numFmtId="0" fontId="19" fillId="0" borderId="0" xfId="2" applyNumberFormat="1" applyFont="1" applyFill="1" applyBorder="1" applyAlignment="1">
      <alignment horizontal="left"/>
    </xf>
    <xf numFmtId="0" fontId="3" fillId="0" borderId="0" xfId="2" applyFont="1" applyFill="1" applyBorder="1"/>
    <xf numFmtId="165" fontId="1" fillId="0" borderId="0" xfId="0" applyNumberFormat="1" applyFont="1" applyFill="1" applyBorder="1"/>
    <xf numFmtId="3" fontId="6" fillId="0" borderId="21" xfId="2" applyNumberFormat="1" applyFont="1" applyFill="1" applyBorder="1" applyAlignment="1">
      <alignment horizontal="right"/>
    </xf>
    <xf numFmtId="4" fontId="17" fillId="0" borderId="4" xfId="0" applyNumberFormat="1" applyFont="1" applyFill="1" applyBorder="1" applyAlignment="1"/>
    <xf numFmtId="3" fontId="17" fillId="0" borderId="21" xfId="0" applyNumberFormat="1" applyFont="1" applyFill="1" applyBorder="1" applyAlignment="1">
      <alignment horizontal="right"/>
    </xf>
    <xf numFmtId="165" fontId="17" fillId="0" borderId="21" xfId="0" applyNumberFormat="1" applyFont="1" applyFill="1" applyBorder="1" applyAlignment="1">
      <alignment horizontal="right"/>
    </xf>
    <xf numFmtId="4" fontId="17" fillId="0" borderId="21" xfId="0" applyNumberFormat="1" applyFont="1" applyFill="1" applyBorder="1" applyAlignment="1">
      <alignment horizontal="right"/>
    </xf>
    <xf numFmtId="0" fontId="9" fillId="0" borderId="21" xfId="0" applyFont="1" applyFill="1" applyBorder="1" applyAlignment="1"/>
    <xf numFmtId="165" fontId="9" fillId="0" borderId="21" xfId="0" applyNumberFormat="1" applyFont="1" applyFill="1" applyBorder="1" applyAlignment="1"/>
    <xf numFmtId="3" fontId="9" fillId="0" borderId="21" xfId="0" applyNumberFormat="1" applyFont="1" applyFill="1" applyBorder="1" applyAlignment="1"/>
    <xf numFmtId="4" fontId="9" fillId="0" borderId="21" xfId="0" applyNumberFormat="1" applyFont="1" applyFill="1" applyBorder="1" applyAlignment="1"/>
    <xf numFmtId="4" fontId="17" fillId="0" borderId="57" xfId="0" applyNumberFormat="1" applyFont="1" applyFill="1" applyBorder="1" applyAlignment="1">
      <alignment horizontal="right"/>
    </xf>
    <xf numFmtId="4" fontId="9" fillId="0" borderId="57" xfId="0" applyNumberFormat="1" applyFont="1" applyFill="1" applyBorder="1" applyAlignment="1"/>
    <xf numFmtId="0" fontId="9" fillId="0" borderId="21" xfId="0" applyFont="1" applyFill="1" applyBorder="1" applyAlignment="1">
      <alignment horizontal="right"/>
    </xf>
    <xf numFmtId="165" fontId="1" fillId="0" borderId="19" xfId="0" applyNumberFormat="1" applyFont="1" applyFill="1" applyBorder="1" applyAlignment="1"/>
    <xf numFmtId="3" fontId="1" fillId="0" borderId="21" xfId="0" applyNumberFormat="1" applyFont="1" applyFill="1" applyBorder="1" applyAlignment="1"/>
    <xf numFmtId="4" fontId="1" fillId="0" borderId="21" xfId="0" applyNumberFormat="1" applyFont="1" applyFill="1" applyBorder="1" applyAlignment="1"/>
    <xf numFmtId="4" fontId="1" fillId="0" borderId="57" xfId="0" applyNumberFormat="1" applyFont="1" applyFill="1" applyBorder="1" applyAlignment="1"/>
    <xf numFmtId="3" fontId="17" fillId="0" borderId="21" xfId="2" applyNumberFormat="1" applyFont="1" applyFill="1" applyBorder="1" applyAlignment="1"/>
    <xf numFmtId="4" fontId="17" fillId="0" borderId="5" xfId="0" applyNumberFormat="1" applyFont="1" applyFill="1" applyBorder="1" applyAlignment="1"/>
    <xf numFmtId="0" fontId="9" fillId="0" borderId="40" xfId="0" applyFont="1" applyFill="1" applyBorder="1" applyAlignment="1">
      <alignment horizontal="right"/>
    </xf>
    <xf numFmtId="165" fontId="1" fillId="0" borderId="54" xfId="0" applyNumberFormat="1" applyFont="1" applyFill="1" applyBorder="1" applyAlignment="1"/>
    <xf numFmtId="3" fontId="1" fillId="0" borderId="40" xfId="0" applyNumberFormat="1" applyFont="1" applyFill="1" applyBorder="1" applyAlignment="1"/>
    <xf numFmtId="4" fontId="9" fillId="0" borderId="7" xfId="0" applyNumberFormat="1" applyFont="1" applyFill="1" applyBorder="1" applyAlignment="1"/>
    <xf numFmtId="4" fontId="9" fillId="0" borderId="65" xfId="0" applyNumberFormat="1" applyFont="1" applyFill="1" applyBorder="1" applyAlignment="1"/>
    <xf numFmtId="4" fontId="7" fillId="0" borderId="49" xfId="0" applyNumberFormat="1" applyFont="1" applyFill="1" applyBorder="1" applyAlignment="1">
      <alignment horizontal="center"/>
    </xf>
    <xf numFmtId="4" fontId="7" fillId="0" borderId="50" xfId="0" applyNumberFormat="1" applyFont="1" applyFill="1" applyBorder="1" applyAlignment="1">
      <alignment horizontal="center"/>
    </xf>
    <xf numFmtId="165" fontId="19" fillId="0" borderId="21" xfId="0" applyNumberFormat="1" applyFont="1" applyFill="1" applyBorder="1" applyAlignment="1">
      <alignment horizontal="right"/>
    </xf>
    <xf numFmtId="165" fontId="19" fillId="0" borderId="40" xfId="0" applyNumberFormat="1" applyFont="1" applyFill="1" applyBorder="1" applyAlignment="1">
      <alignment horizontal="right"/>
    </xf>
    <xf numFmtId="4" fontId="19" fillId="0" borderId="7" xfId="2" applyNumberFormat="1" applyFont="1" applyFill="1" applyBorder="1"/>
    <xf numFmtId="4" fontId="19" fillId="0" borderId="63" xfId="0" applyNumberFormat="1" applyFont="1" applyFill="1" applyBorder="1"/>
    <xf numFmtId="3" fontId="12" fillId="0" borderId="9" xfId="2" applyNumberFormat="1" applyFont="1" applyFill="1" applyBorder="1"/>
    <xf numFmtId="3" fontId="12" fillId="0" borderId="19" xfId="0" applyNumberFormat="1" applyFont="1" applyFill="1" applyBorder="1"/>
    <xf numFmtId="3" fontId="12" fillId="0" borderId="21" xfId="0" applyNumberFormat="1" applyFont="1" applyFill="1" applyBorder="1"/>
    <xf numFmtId="4" fontId="17" fillId="0" borderId="7" xfId="0" applyNumberFormat="1" applyFont="1" applyFill="1" applyBorder="1" applyAlignment="1">
      <alignment horizontal="center"/>
    </xf>
    <xf numFmtId="4" fontId="7" fillId="0" borderId="63" xfId="0" applyNumberFormat="1" applyFont="1" applyFill="1" applyBorder="1" applyAlignment="1">
      <alignment horizontal="center"/>
    </xf>
    <xf numFmtId="4" fontId="17" fillId="0" borderId="4" xfId="0" applyNumberFormat="1" applyFont="1" applyFill="1" applyBorder="1"/>
    <xf numFmtId="4" fontId="17" fillId="0" borderId="5" xfId="0" applyNumberFormat="1" applyFont="1" applyFill="1" applyBorder="1"/>
    <xf numFmtId="0" fontId="9" fillId="0" borderId="14" xfId="0" applyFont="1" applyFill="1" applyBorder="1" applyAlignment="1">
      <alignment horizontal="right"/>
    </xf>
    <xf numFmtId="3" fontId="1" fillId="0" borderId="14" xfId="0" applyNumberFormat="1" applyFont="1" applyFill="1" applyBorder="1"/>
    <xf numFmtId="4" fontId="9" fillId="0" borderId="14" xfId="0" applyNumberFormat="1" applyFont="1" applyFill="1" applyBorder="1"/>
    <xf numFmtId="0" fontId="4" fillId="2" borderId="37" xfId="0" applyFont="1" applyFill="1" applyBorder="1" applyAlignment="1">
      <alignment vertical="center"/>
    </xf>
    <xf numFmtId="3" fontId="27" fillId="0" borderId="34" xfId="0" applyNumberFormat="1" applyFont="1" applyFill="1" applyBorder="1" applyAlignment="1">
      <alignment horizontal="right"/>
    </xf>
    <xf numFmtId="165" fontId="0" fillId="0" borderId="34" xfId="0" applyNumberFormat="1" applyFill="1" applyBorder="1"/>
    <xf numFmtId="3" fontId="0" fillId="0" borderId="60" xfId="0" applyNumberFormat="1" applyFill="1" applyBorder="1"/>
    <xf numFmtId="4" fontId="0" fillId="0" borderId="34" xfId="0" applyNumberFormat="1" applyFill="1" applyBorder="1"/>
    <xf numFmtId="4" fontId="0" fillId="0" borderId="61" xfId="0" applyNumberFormat="1" applyFill="1" applyBorder="1"/>
    <xf numFmtId="49" fontId="7" fillId="0" borderId="46" xfId="2" applyNumberFormat="1" applyFont="1" applyFill="1" applyBorder="1" applyAlignment="1">
      <alignment horizontal="center"/>
    </xf>
    <xf numFmtId="0" fontId="7" fillId="0" borderId="21" xfId="2" applyFont="1" applyFill="1" applyBorder="1" applyAlignment="1">
      <alignment horizontal="left"/>
    </xf>
    <xf numFmtId="0" fontId="3" fillId="0" borderId="14" xfId="2" applyFont="1" applyFill="1" applyBorder="1" applyAlignment="1">
      <alignment horizontal="left"/>
    </xf>
    <xf numFmtId="49" fontId="17" fillId="0" borderId="21" xfId="2" applyNumberFormat="1" applyFont="1" applyFill="1" applyBorder="1"/>
    <xf numFmtId="3" fontId="17" fillId="0" borderId="21" xfId="2" applyNumberFormat="1" applyFont="1" applyFill="1" applyBorder="1" applyAlignment="1">
      <alignment horizontal="right"/>
    </xf>
    <xf numFmtId="165" fontId="17" fillId="0" borderId="21" xfId="2" applyNumberFormat="1" applyFont="1" applyFill="1" applyBorder="1" applyAlignment="1">
      <alignment horizontal="right"/>
    </xf>
    <xf numFmtId="4" fontId="17" fillId="0" borderId="21" xfId="2" applyNumberFormat="1" applyFont="1" applyFill="1" applyBorder="1"/>
    <xf numFmtId="0" fontId="17" fillId="0" borderId="11" xfId="1" applyFont="1" applyFill="1" applyBorder="1" applyAlignment="1"/>
    <xf numFmtId="0" fontId="31" fillId="0" borderId="21" xfId="1" applyFont="1" applyFill="1" applyBorder="1" applyAlignment="1">
      <alignment horizontal="right"/>
    </xf>
    <xf numFmtId="0" fontId="9" fillId="0" borderId="21" xfId="0" applyFont="1" applyFill="1" applyBorder="1" applyAlignment="1">
      <alignment horizontal="justify" vertical="center" wrapText="1"/>
    </xf>
    <xf numFmtId="3" fontId="9" fillId="0" borderId="21" xfId="0" applyNumberFormat="1" applyFont="1" applyFill="1" applyBorder="1" applyAlignment="1">
      <alignment horizontal="right" wrapText="1"/>
    </xf>
    <xf numFmtId="165" fontId="9" fillId="0" borderId="21" xfId="0" applyNumberFormat="1" applyFont="1" applyFill="1" applyBorder="1" applyAlignment="1">
      <alignment horizontal="right" wrapText="1"/>
    </xf>
    <xf numFmtId="3" fontId="9" fillId="0" borderId="21" xfId="2" applyNumberFormat="1" applyFont="1" applyFill="1" applyBorder="1" applyAlignment="1">
      <alignment horizontal="right"/>
    </xf>
    <xf numFmtId="4" fontId="9" fillId="0" borderId="21" xfId="2" applyNumberFormat="1" applyFont="1" applyFill="1" applyBorder="1"/>
    <xf numFmtId="4" fontId="9" fillId="0" borderId="57" xfId="0" applyNumberFormat="1" applyFont="1" applyFill="1" applyBorder="1"/>
    <xf numFmtId="49" fontId="9" fillId="0" borderId="11" xfId="2" applyNumberFormat="1" applyFont="1" applyFill="1" applyBorder="1" applyAlignment="1">
      <alignment horizontal="center"/>
    </xf>
    <xf numFmtId="49" fontId="9" fillId="0" borderId="21" xfId="2" applyNumberFormat="1" applyFont="1" applyFill="1" applyBorder="1" applyAlignment="1">
      <alignment horizontal="center"/>
    </xf>
    <xf numFmtId="0" fontId="9" fillId="0" borderId="21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justify" wrapText="1"/>
    </xf>
    <xf numFmtId="3" fontId="29" fillId="0" borderId="21" xfId="0" applyNumberFormat="1" applyFont="1" applyFill="1" applyBorder="1" applyAlignment="1">
      <alignment horizontal="right" wrapText="1"/>
    </xf>
    <xf numFmtId="165" fontId="29" fillId="0" borderId="21" xfId="0" applyNumberFormat="1" applyFont="1" applyFill="1" applyBorder="1" applyAlignment="1">
      <alignment horizontal="right" wrapText="1"/>
    </xf>
    <xf numFmtId="4" fontId="9" fillId="0" borderId="21" xfId="2" applyNumberFormat="1" applyFont="1" applyFill="1" applyBorder="1" applyAlignment="1"/>
    <xf numFmtId="49" fontId="17" fillId="0" borderId="11" xfId="2" applyNumberFormat="1" applyFont="1" applyFill="1" applyBorder="1" applyAlignment="1">
      <alignment horizontal="center"/>
    </xf>
    <xf numFmtId="49" fontId="17" fillId="0" borderId="21" xfId="2" applyNumberFormat="1" applyFont="1" applyFill="1" applyBorder="1" applyAlignment="1">
      <alignment horizontal="left"/>
    </xf>
    <xf numFmtId="0" fontId="17" fillId="0" borderId="21" xfId="2" applyFont="1" applyFill="1" applyBorder="1"/>
    <xf numFmtId="0" fontId="17" fillId="0" borderId="21" xfId="1" applyFont="1" applyFill="1" applyBorder="1" applyAlignment="1"/>
    <xf numFmtId="3" fontId="9" fillId="0" borderId="21" xfId="0" applyNumberFormat="1" applyFont="1" applyFill="1" applyBorder="1" applyAlignment="1">
      <alignment horizontal="right" vertical="center" wrapText="1"/>
    </xf>
    <xf numFmtId="165" fontId="9" fillId="0" borderId="21" xfId="0" applyNumberFormat="1" applyFont="1" applyFill="1" applyBorder="1" applyAlignment="1">
      <alignment horizontal="right" vertical="center" wrapText="1"/>
    </xf>
    <xf numFmtId="0" fontId="12" fillId="0" borderId="21" xfId="2" applyNumberFormat="1" applyFont="1" applyFill="1" applyBorder="1" applyAlignment="1">
      <alignment horizontal="left"/>
    </xf>
    <xf numFmtId="0" fontId="35" fillId="0" borderId="21" xfId="1" applyFont="1" applyFill="1" applyBorder="1" applyAlignment="1"/>
    <xf numFmtId="3" fontId="29" fillId="0" borderId="21" xfId="0" applyNumberFormat="1" applyFont="1" applyFill="1" applyBorder="1" applyAlignment="1">
      <alignment horizontal="right"/>
    </xf>
    <xf numFmtId="0" fontId="29" fillId="0" borderId="11" xfId="0" applyFont="1" applyFill="1" applyBorder="1"/>
    <xf numFmtId="0" fontId="29" fillId="0" borderId="21" xfId="0" applyFont="1" applyFill="1" applyBorder="1"/>
    <xf numFmtId="0" fontId="29" fillId="0" borderId="11" xfId="0" applyFont="1" applyFill="1" applyBorder="1" applyAlignment="1">
      <alignment horizontal="left"/>
    </xf>
    <xf numFmtId="0" fontId="29" fillId="0" borderId="21" xfId="0" applyFont="1" applyFill="1" applyBorder="1" applyAlignment="1">
      <alignment horizontal="left"/>
    </xf>
    <xf numFmtId="4" fontId="9" fillId="0" borderId="21" xfId="2" applyNumberFormat="1" applyFont="1" applyFill="1" applyBorder="1" applyAlignment="1">
      <alignment horizontal="right"/>
    </xf>
    <xf numFmtId="4" fontId="9" fillId="0" borderId="57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4" fillId="0" borderId="25" xfId="2" applyFont="1" applyFill="1" applyBorder="1" applyAlignment="1"/>
    <xf numFmtId="0" fontId="4" fillId="0" borderId="36" xfId="2" applyFont="1" applyFill="1" applyBorder="1" applyAlignment="1"/>
    <xf numFmtId="0" fontId="4" fillId="0" borderId="36" xfId="2" applyFont="1" applyFill="1" applyBorder="1"/>
    <xf numFmtId="3" fontId="4" fillId="0" borderId="27" xfId="2" applyNumberFormat="1" applyFont="1" applyFill="1" applyBorder="1"/>
    <xf numFmtId="165" fontId="4" fillId="0" borderId="27" xfId="2" applyNumberFormat="1" applyFont="1" applyFill="1" applyBorder="1"/>
    <xf numFmtId="0" fontId="13" fillId="0" borderId="0" xfId="0" applyFont="1" applyFill="1"/>
    <xf numFmtId="0" fontId="15" fillId="0" borderId="0" xfId="0" applyFont="1" applyFill="1"/>
    <xf numFmtId="0" fontId="9" fillId="0" borderId="0" xfId="0" applyFont="1" applyFill="1"/>
    <xf numFmtId="0" fontId="0" fillId="0" borderId="0" xfId="0" applyFill="1" applyAlignment="1">
      <alignment horizontal="right"/>
    </xf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7" fillId="0" borderId="2" xfId="0" applyFont="1" applyFill="1" applyBorder="1"/>
    <xf numFmtId="0" fontId="7" fillId="0" borderId="49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17" fillId="0" borderId="4" xfId="0" applyNumberFormat="1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49" fontId="17" fillId="0" borderId="7" xfId="0" applyNumberFormat="1" applyFont="1" applyFill="1" applyBorder="1" applyAlignment="1">
      <alignment horizontal="center"/>
    </xf>
    <xf numFmtId="14" fontId="17" fillId="0" borderId="4" xfId="0" applyNumberFormat="1" applyFont="1" applyFill="1" applyBorder="1" applyAlignment="1">
      <alignment horizontal="center"/>
    </xf>
    <xf numFmtId="0" fontId="13" fillId="0" borderId="45" xfId="0" applyFont="1" applyFill="1" applyBorder="1" applyAlignment="1"/>
    <xf numFmtId="0" fontId="13" fillId="0" borderId="9" xfId="0" applyFont="1" applyFill="1" applyBorder="1" applyAlignment="1"/>
    <xf numFmtId="0" fontId="13" fillId="0" borderId="10" xfId="0" applyFont="1" applyFill="1" applyBorder="1" applyAlignment="1"/>
    <xf numFmtId="49" fontId="17" fillId="0" borderId="16" xfId="0" applyNumberFormat="1" applyFont="1" applyFill="1" applyBorder="1"/>
    <xf numFmtId="0" fontId="14" fillId="0" borderId="33" xfId="0" applyFont="1" applyFill="1" applyBorder="1"/>
    <xf numFmtId="165" fontId="0" fillId="0" borderId="34" xfId="0" applyNumberFormat="1" applyFont="1" applyFill="1" applyBorder="1"/>
    <xf numFmtId="3" fontId="0" fillId="0" borderId="60" xfId="0" applyNumberFormat="1" applyFont="1" applyFill="1" applyBorder="1"/>
    <xf numFmtId="0" fontId="0" fillId="0" borderId="34" xfId="0" applyFill="1" applyBorder="1"/>
    <xf numFmtId="0" fontId="0" fillId="0" borderId="61" xfId="0" applyFill="1" applyBorder="1"/>
    <xf numFmtId="49" fontId="6" fillId="0" borderId="8" xfId="2" applyNumberFormat="1" applyFont="1" applyFill="1" applyBorder="1" applyAlignment="1">
      <alignment horizontal="center"/>
    </xf>
    <xf numFmtId="0" fontId="6" fillId="0" borderId="18" xfId="2" applyFont="1" applyFill="1" applyBorder="1" applyAlignment="1">
      <alignment horizontal="left"/>
    </xf>
    <xf numFmtId="0" fontId="6" fillId="0" borderId="16" xfId="2" applyFont="1" applyFill="1" applyBorder="1" applyAlignment="1">
      <alignment horizontal="right"/>
    </xf>
    <xf numFmtId="3" fontId="6" fillId="0" borderId="20" xfId="2" applyNumberFormat="1" applyFont="1" applyFill="1" applyBorder="1" applyAlignment="1">
      <alignment horizontal="right"/>
    </xf>
    <xf numFmtId="165" fontId="6" fillId="0" borderId="20" xfId="2" applyNumberFormat="1" applyFont="1" applyFill="1" applyBorder="1" applyAlignment="1">
      <alignment horizontal="right"/>
    </xf>
    <xf numFmtId="0" fontId="3" fillId="0" borderId="21" xfId="2" applyFont="1" applyFill="1" applyBorder="1"/>
    <xf numFmtId="3" fontId="9" fillId="0" borderId="20" xfId="0" applyNumberFormat="1" applyFont="1" applyFill="1" applyBorder="1"/>
    <xf numFmtId="165" fontId="1" fillId="0" borderId="21" xfId="0" applyNumberFormat="1" applyFont="1" applyFill="1" applyBorder="1"/>
    <xf numFmtId="0" fontId="3" fillId="0" borderId="11" xfId="2" applyFont="1" applyFill="1" applyBorder="1" applyAlignment="1"/>
    <xf numFmtId="49" fontId="3" fillId="0" borderId="21" xfId="2" applyNumberFormat="1" applyFont="1" applyFill="1" applyBorder="1" applyAlignment="1">
      <alignment horizontal="center"/>
    </xf>
    <xf numFmtId="49" fontId="3" fillId="0" borderId="14" xfId="2" applyNumberFormat="1" applyFont="1" applyFill="1" applyBorder="1" applyAlignment="1">
      <alignment horizontal="center"/>
    </xf>
    <xf numFmtId="0" fontId="3" fillId="0" borderId="14" xfId="2" applyFont="1" applyFill="1" applyBorder="1"/>
    <xf numFmtId="0" fontId="3" fillId="0" borderId="46" xfId="2" applyFont="1" applyFill="1" applyBorder="1" applyAlignment="1"/>
    <xf numFmtId="0" fontId="3" fillId="0" borderId="23" xfId="2" applyFont="1" applyFill="1" applyBorder="1"/>
    <xf numFmtId="0" fontId="3" fillId="0" borderId="41" xfId="2" applyFont="1" applyFill="1" applyBorder="1" applyAlignment="1"/>
    <xf numFmtId="49" fontId="3" fillId="0" borderId="40" xfId="2" applyNumberFormat="1" applyFont="1" applyFill="1" applyBorder="1" applyAlignment="1">
      <alignment horizontal="center"/>
    </xf>
    <xf numFmtId="0" fontId="3" fillId="0" borderId="43" xfId="2" applyFont="1" applyFill="1" applyBorder="1"/>
    <xf numFmtId="0" fontId="3" fillId="0" borderId="40" xfId="2" applyFont="1" applyFill="1" applyBorder="1"/>
    <xf numFmtId="3" fontId="9" fillId="0" borderId="18" xfId="0" applyNumberFormat="1" applyFont="1" applyFill="1" applyBorder="1"/>
    <xf numFmtId="165" fontId="1" fillId="0" borderId="4" xfId="0" applyNumberFormat="1" applyFont="1" applyFill="1" applyBorder="1"/>
    <xf numFmtId="0" fontId="4" fillId="0" borderId="27" xfId="2" applyFont="1" applyFill="1" applyBorder="1"/>
    <xf numFmtId="4" fontId="2" fillId="0" borderId="27" xfId="2" applyNumberFormat="1" applyFont="1" applyFill="1" applyBorder="1"/>
    <xf numFmtId="4" fontId="2" fillId="0" borderId="48" xfId="0" applyNumberFormat="1" applyFont="1" applyFill="1" applyBorder="1"/>
    <xf numFmtId="0" fontId="6" fillId="0" borderId="21" xfId="2" applyFont="1" applyFill="1" applyBorder="1" applyAlignment="1">
      <alignment horizontal="left"/>
    </xf>
    <xf numFmtId="0" fontId="6" fillId="0" borderId="21" xfId="2" applyFont="1" applyFill="1" applyBorder="1" applyAlignment="1">
      <alignment horizontal="right"/>
    </xf>
    <xf numFmtId="165" fontId="6" fillId="0" borderId="21" xfId="2" applyNumberFormat="1" applyFont="1" applyFill="1" applyBorder="1" applyAlignment="1">
      <alignment horizontal="right"/>
    </xf>
    <xf numFmtId="4" fontId="7" fillId="0" borderId="57" xfId="0" applyNumberFormat="1" applyFont="1" applyFill="1" applyBorder="1"/>
    <xf numFmtId="0" fontId="23" fillId="0" borderId="0" xfId="0" applyFont="1" applyFill="1"/>
    <xf numFmtId="0" fontId="29" fillId="0" borderId="11" xfId="0" applyFont="1" applyFill="1" applyBorder="1" applyAlignment="1"/>
    <xf numFmtId="0" fontId="29" fillId="0" borderId="21" xfId="0" applyFont="1" applyFill="1" applyBorder="1" applyAlignment="1"/>
    <xf numFmtId="0" fontId="9" fillId="0" borderId="21" xfId="0" applyFont="1" applyFill="1" applyBorder="1" applyAlignment="1">
      <alignment wrapText="1"/>
    </xf>
    <xf numFmtId="3" fontId="9" fillId="0" borderId="21" xfId="0" applyNumberFormat="1" applyFont="1" applyFill="1" applyBorder="1" applyAlignment="1">
      <alignment horizontal="right"/>
    </xf>
    <xf numFmtId="165" fontId="9" fillId="0" borderId="21" xfId="0" applyNumberFormat="1" applyFont="1" applyFill="1" applyBorder="1" applyAlignment="1">
      <alignment horizontal="right"/>
    </xf>
    <xf numFmtId="0" fontId="23" fillId="0" borderId="0" xfId="0" applyFont="1" applyFill="1" applyAlignment="1"/>
    <xf numFmtId="0" fontId="17" fillId="0" borderId="21" xfId="2" applyFont="1" applyFill="1" applyBorder="1" applyAlignment="1">
      <alignment horizontal="left"/>
    </xf>
    <xf numFmtId="0" fontId="17" fillId="0" borderId="21" xfId="2" applyFont="1" applyFill="1" applyBorder="1" applyAlignment="1">
      <alignment horizontal="right"/>
    </xf>
    <xf numFmtId="4" fontId="17" fillId="0" borderId="21" xfId="2" applyNumberFormat="1" applyFont="1" applyFill="1" applyBorder="1" applyAlignment="1"/>
    <xf numFmtId="4" fontId="17" fillId="0" borderId="57" xfId="0" applyNumberFormat="1" applyFont="1" applyFill="1" applyBorder="1" applyAlignment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/>
    </xf>
    <xf numFmtId="3" fontId="17" fillId="0" borderId="29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17" fillId="0" borderId="0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0" fontId="4" fillId="0" borderId="45" xfId="0" applyFont="1" applyFill="1" applyBorder="1"/>
    <xf numFmtId="0" fontId="4" fillId="0" borderId="8" xfId="0" applyFont="1" applyFill="1" applyBorder="1" applyAlignment="1">
      <alignment horizontal="center"/>
    </xf>
    <xf numFmtId="49" fontId="4" fillId="0" borderId="16" xfId="0" applyNumberFormat="1" applyFont="1" applyFill="1" applyBorder="1"/>
    <xf numFmtId="0" fontId="24" fillId="0" borderId="16" xfId="0" applyFont="1" applyFill="1" applyBorder="1"/>
    <xf numFmtId="49" fontId="1" fillId="0" borderId="11" xfId="2" applyNumberFormat="1" applyFill="1" applyBorder="1" applyAlignment="1">
      <alignment horizontal="center"/>
    </xf>
    <xf numFmtId="49" fontId="1" fillId="0" borderId="20" xfId="2" applyNumberFormat="1" applyFill="1" applyBorder="1" applyAlignment="1">
      <alignment horizontal="center"/>
    </xf>
    <xf numFmtId="0" fontId="1" fillId="0" borderId="21" xfId="2" applyFill="1" applyBorder="1"/>
    <xf numFmtId="0" fontId="1" fillId="0" borderId="22" xfId="2" applyFont="1" applyFill="1" applyBorder="1"/>
    <xf numFmtId="0" fontId="1" fillId="0" borderId="21" xfId="0" applyFont="1" applyFill="1" applyBorder="1"/>
    <xf numFmtId="49" fontId="1" fillId="0" borderId="8" xfId="2" applyNumberFormat="1" applyFill="1" applyBorder="1" applyAlignment="1">
      <alignment horizontal="center"/>
    </xf>
    <xf numFmtId="49" fontId="1" fillId="0" borderId="10" xfId="2" applyNumberFormat="1" applyFill="1" applyBorder="1" applyAlignment="1">
      <alignment horizontal="center"/>
    </xf>
    <xf numFmtId="0" fontId="1" fillId="0" borderId="16" xfId="2" applyFill="1" applyBorder="1"/>
    <xf numFmtId="0" fontId="1" fillId="0" borderId="21" xfId="2" applyFont="1" applyFill="1" applyBorder="1"/>
    <xf numFmtId="0" fontId="1" fillId="0" borderId="20" xfId="0" applyFont="1" applyFill="1" applyBorder="1"/>
    <xf numFmtId="0" fontId="1" fillId="0" borderId="20" xfId="2" applyFont="1" applyFill="1" applyBorder="1"/>
    <xf numFmtId="165" fontId="1" fillId="0" borderId="20" xfId="0" applyNumberFormat="1" applyFont="1" applyFill="1" applyBorder="1"/>
    <xf numFmtId="0" fontId="1" fillId="0" borderId="20" xfId="0" applyFont="1" applyFill="1" applyBorder="1" applyAlignment="1">
      <alignment horizontal="left"/>
    </xf>
    <xf numFmtId="3" fontId="7" fillId="0" borderId="20" xfId="0" applyNumberFormat="1" applyFont="1" applyFill="1" applyBorder="1"/>
    <xf numFmtId="165" fontId="7" fillId="0" borderId="20" xfId="0" applyNumberFormat="1" applyFont="1" applyFill="1" applyBorder="1"/>
    <xf numFmtId="49" fontId="1" fillId="0" borderId="21" xfId="0" applyNumberFormat="1" applyFont="1" applyFill="1" applyBorder="1" applyAlignment="1">
      <alignment horizontal="center"/>
    </xf>
    <xf numFmtId="0" fontId="1" fillId="0" borderId="11" xfId="0" applyFont="1" applyFill="1" applyBorder="1"/>
    <xf numFmtId="3" fontId="1" fillId="0" borderId="20" xfId="0" applyNumberFormat="1" applyFont="1" applyFill="1" applyBorder="1"/>
    <xf numFmtId="0" fontId="1" fillId="0" borderId="18" xfId="0" applyFont="1" applyFill="1" applyBorder="1"/>
    <xf numFmtId="0" fontId="1" fillId="0" borderId="15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8" xfId="0" applyFont="1" applyFill="1" applyBorder="1"/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/>
    <xf numFmtId="49" fontId="1" fillId="0" borderId="16" xfId="0" applyNumberFormat="1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wrapText="1"/>
    </xf>
    <xf numFmtId="0" fontId="1" fillId="0" borderId="20" xfId="0" applyFont="1" applyFill="1" applyBorder="1" applyAlignment="1">
      <alignment horizontal="left" wrapText="1"/>
    </xf>
    <xf numFmtId="3" fontId="1" fillId="0" borderId="10" xfId="0" applyNumberFormat="1" applyFont="1" applyFill="1" applyBorder="1"/>
    <xf numFmtId="165" fontId="1" fillId="0" borderId="16" xfId="0" applyNumberFormat="1" applyFont="1" applyFill="1" applyBorder="1"/>
    <xf numFmtId="3" fontId="1" fillId="0" borderId="9" xfId="0" applyNumberFormat="1" applyFont="1" applyFill="1" applyBorder="1"/>
    <xf numFmtId="0" fontId="1" fillId="0" borderId="21" xfId="0" applyFont="1" applyFill="1" applyBorder="1" applyAlignment="1">
      <alignment horizontal="center"/>
    </xf>
    <xf numFmtId="49" fontId="1" fillId="0" borderId="21" xfId="0" applyNumberFormat="1" applyFont="1" applyFill="1" applyBorder="1"/>
    <xf numFmtId="4" fontId="1" fillId="0" borderId="4" xfId="2" applyNumberFormat="1" applyFont="1" applyFill="1" applyBorder="1"/>
    <xf numFmtId="4" fontId="1" fillId="0" borderId="50" xfId="0" applyNumberFormat="1" applyFont="1" applyFill="1" applyBorder="1"/>
    <xf numFmtId="0" fontId="2" fillId="0" borderId="37" xfId="0" applyFont="1" applyFill="1" applyBorder="1" applyAlignment="1">
      <alignment vertical="center"/>
    </xf>
    <xf numFmtId="3" fontId="2" fillId="0" borderId="27" xfId="0" applyNumberFormat="1" applyFont="1" applyFill="1" applyBorder="1" applyAlignment="1">
      <alignment vertical="center"/>
    </xf>
    <xf numFmtId="165" fontId="2" fillId="0" borderId="27" xfId="0" applyNumberFormat="1" applyFont="1" applyFill="1" applyBorder="1" applyAlignment="1">
      <alignment vertical="center"/>
    </xf>
    <xf numFmtId="4" fontId="2" fillId="0" borderId="48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4" fontId="2" fillId="0" borderId="0" xfId="2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6" fillId="0" borderId="31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left"/>
    </xf>
    <xf numFmtId="0" fontId="3" fillId="0" borderId="16" xfId="1" applyFont="1" applyFill="1" applyBorder="1" applyAlignment="1"/>
    <xf numFmtId="0" fontId="0" fillId="0" borderId="60" xfId="0" applyFill="1" applyBorder="1"/>
    <xf numFmtId="2" fontId="17" fillId="0" borderId="21" xfId="0" applyNumberFormat="1" applyFont="1" applyFill="1" applyBorder="1"/>
    <xf numFmtId="2" fontId="17" fillId="0" borderId="57" xfId="0" applyNumberFormat="1" applyFont="1" applyFill="1" applyBorder="1"/>
    <xf numFmtId="49" fontId="6" fillId="0" borderId="45" xfId="2" applyNumberFormat="1" applyFont="1" applyFill="1" applyBorder="1" applyAlignment="1">
      <alignment horizontal="center" vertical="center"/>
    </xf>
    <xf numFmtId="0" fontId="4" fillId="0" borderId="22" xfId="2" applyFont="1" applyFill="1" applyBorder="1" applyAlignment="1">
      <alignment horizontal="left" vertical="center"/>
    </xf>
    <xf numFmtId="3" fontId="3" fillId="0" borderId="17" xfId="2" applyNumberFormat="1" applyFont="1" applyFill="1" applyBorder="1"/>
    <xf numFmtId="165" fontId="3" fillId="0" borderId="17" xfId="2" applyNumberFormat="1" applyFont="1" applyFill="1" applyBorder="1"/>
    <xf numFmtId="3" fontId="9" fillId="0" borderId="21" xfId="2" applyNumberFormat="1" applyFont="1" applyFill="1" applyBorder="1"/>
    <xf numFmtId="4" fontId="1" fillId="0" borderId="20" xfId="0" applyNumberFormat="1" applyFont="1" applyFill="1" applyBorder="1"/>
    <xf numFmtId="4" fontId="1" fillId="0" borderId="42" xfId="0" applyNumberFormat="1" applyFont="1" applyFill="1" applyBorder="1"/>
    <xf numFmtId="0" fontId="4" fillId="0" borderId="27" xfId="2" applyFont="1" applyFill="1" applyBorder="1" applyAlignment="1">
      <alignment vertical="center"/>
    </xf>
    <xf numFmtId="2" fontId="2" fillId="0" borderId="27" xfId="0" applyNumberFormat="1" applyFont="1" applyFill="1" applyBorder="1" applyAlignment="1">
      <alignment vertical="center"/>
    </xf>
    <xf numFmtId="2" fontId="2" fillId="0" borderId="48" xfId="0" applyNumberFormat="1" applyFont="1" applyFill="1" applyBorder="1" applyAlignment="1">
      <alignment vertical="center"/>
    </xf>
    <xf numFmtId="0" fontId="31" fillId="0" borderId="0" xfId="0" applyFont="1" applyFill="1" applyAlignment="1">
      <alignment horizontal="right"/>
    </xf>
    <xf numFmtId="0" fontId="13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0" fontId="7" fillId="0" borderId="63" xfId="0" applyFont="1" applyFill="1" applyBorder="1" applyAlignment="1">
      <alignment horizontal="center"/>
    </xf>
    <xf numFmtId="49" fontId="13" fillId="0" borderId="58" xfId="0" applyNumberFormat="1" applyFont="1" applyFill="1" applyBorder="1" applyAlignment="1">
      <alignment horizontal="left"/>
    </xf>
    <xf numFmtId="0" fontId="13" fillId="0" borderId="34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49" fontId="13" fillId="0" borderId="34" xfId="0" applyNumberFormat="1" applyFont="1" applyFill="1" applyBorder="1"/>
    <xf numFmtId="0" fontId="15" fillId="0" borderId="34" xfId="0" applyFont="1" applyFill="1" applyBorder="1"/>
    <xf numFmtId="0" fontId="0" fillId="0" borderId="33" xfId="0" applyFill="1" applyBorder="1"/>
    <xf numFmtId="0" fontId="0" fillId="0" borderId="64" xfId="0" applyFill="1" applyBorder="1"/>
    <xf numFmtId="49" fontId="6" fillId="0" borderId="30" xfId="2" applyNumberFormat="1" applyFont="1" applyFill="1" applyBorder="1" applyAlignment="1">
      <alignment horizontal="center"/>
    </xf>
    <xf numFmtId="49" fontId="6" fillId="0" borderId="4" xfId="2" applyNumberFormat="1" applyFont="1" applyFill="1" applyBorder="1" applyAlignment="1">
      <alignment horizontal="left"/>
    </xf>
    <xf numFmtId="0" fontId="6" fillId="0" borderId="18" xfId="2" applyFont="1" applyFill="1" applyBorder="1"/>
    <xf numFmtId="49" fontId="4" fillId="0" borderId="16" xfId="2" applyNumberFormat="1" applyFont="1" applyFill="1" applyBorder="1"/>
    <xf numFmtId="3" fontId="6" fillId="0" borderId="10" xfId="2" applyNumberFormat="1" applyFont="1" applyFill="1" applyBorder="1"/>
    <xf numFmtId="165" fontId="6" fillId="0" borderId="10" xfId="2" applyNumberFormat="1" applyFont="1" applyFill="1" applyBorder="1"/>
    <xf numFmtId="4" fontId="7" fillId="0" borderId="10" xfId="0" applyNumberFormat="1" applyFont="1" applyFill="1" applyBorder="1"/>
    <xf numFmtId="4" fontId="7" fillId="0" borderId="42" xfId="0" applyNumberFormat="1" applyFont="1" applyFill="1" applyBorder="1"/>
    <xf numFmtId="164" fontId="22" fillId="0" borderId="0" xfId="0" applyNumberFormat="1" applyFont="1" applyFill="1"/>
    <xf numFmtId="49" fontId="4" fillId="0" borderId="11" xfId="2" applyNumberFormat="1" applyFont="1" applyFill="1" applyBorder="1" applyAlignment="1">
      <alignment horizontal="left"/>
    </xf>
    <xf numFmtId="0" fontId="4" fillId="0" borderId="21" xfId="2" applyFont="1" applyFill="1" applyBorder="1" applyAlignment="1">
      <alignment horizontal="center"/>
    </xf>
    <xf numFmtId="0" fontId="3" fillId="0" borderId="16" xfId="2" applyFont="1" applyFill="1" applyBorder="1"/>
    <xf numFmtId="3" fontId="1" fillId="0" borderId="18" xfId="2" applyNumberFormat="1" applyFont="1" applyFill="1" applyBorder="1"/>
    <xf numFmtId="165" fontId="1" fillId="0" borderId="18" xfId="2" applyNumberFormat="1" applyFont="1" applyFill="1" applyBorder="1"/>
    <xf numFmtId="4" fontId="1" fillId="0" borderId="10" xfId="0" applyNumberFormat="1" applyFont="1" applyFill="1" applyBorder="1"/>
    <xf numFmtId="3" fontId="1" fillId="0" borderId="20" xfId="2" applyNumberFormat="1" applyFont="1" applyFill="1" applyBorder="1"/>
    <xf numFmtId="165" fontId="1" fillId="0" borderId="20" xfId="2" applyNumberFormat="1" applyFont="1" applyFill="1" applyBorder="1"/>
    <xf numFmtId="49" fontId="4" fillId="0" borderId="8" xfId="2" applyNumberFormat="1" applyFont="1" applyFill="1" applyBorder="1" applyAlignment="1">
      <alignment horizontal="left"/>
    </xf>
    <xf numFmtId="0" fontId="3" fillId="0" borderId="10" xfId="2" applyFont="1" applyFill="1" applyBorder="1"/>
    <xf numFmtId="3" fontId="1" fillId="0" borderId="21" xfId="2" applyNumberFormat="1" applyFont="1" applyFill="1" applyBorder="1"/>
    <xf numFmtId="165" fontId="1" fillId="0" borderId="21" xfId="2" applyNumberFormat="1" applyFont="1" applyFill="1" applyBorder="1"/>
    <xf numFmtId="3" fontId="9" fillId="0" borderId="21" xfId="0" applyNumberFormat="1" applyFont="1" applyFill="1" applyBorder="1"/>
    <xf numFmtId="0" fontId="3" fillId="0" borderId="10" xfId="2" applyFont="1" applyFill="1" applyBorder="1" applyAlignment="1">
      <alignment wrapText="1"/>
    </xf>
    <xf numFmtId="0" fontId="6" fillId="0" borderId="21" xfId="2" applyFont="1" applyFill="1" applyBorder="1"/>
    <xf numFmtId="3" fontId="6" fillId="0" borderId="20" xfId="2" applyNumberFormat="1" applyFont="1" applyFill="1" applyBorder="1"/>
    <xf numFmtId="165" fontId="6" fillId="0" borderId="20" xfId="2" applyNumberFormat="1" applyFont="1" applyFill="1" applyBorder="1"/>
    <xf numFmtId="49" fontId="3" fillId="0" borderId="30" xfId="2" applyNumberFormat="1" applyFont="1" applyFill="1" applyBorder="1" applyAlignment="1">
      <alignment horizontal="center"/>
    </xf>
    <xf numFmtId="49" fontId="3" fillId="0" borderId="4" xfId="2" applyNumberFormat="1" applyFont="1" applyFill="1" applyBorder="1" applyAlignment="1">
      <alignment horizontal="left"/>
    </xf>
    <xf numFmtId="0" fontId="3" fillId="0" borderId="4" xfId="2" applyFont="1" applyFill="1" applyBorder="1" applyAlignment="1">
      <alignment horizontal="left"/>
    </xf>
    <xf numFmtId="0" fontId="3" fillId="0" borderId="4" xfId="2" applyFont="1" applyFill="1" applyBorder="1"/>
    <xf numFmtId="3" fontId="1" fillId="0" borderId="23" xfId="0" applyNumberFormat="1" applyFont="1" applyFill="1" applyBorder="1"/>
    <xf numFmtId="4" fontId="1" fillId="0" borderId="18" xfId="0" applyNumberFormat="1" applyFont="1" applyFill="1" applyBorder="1"/>
    <xf numFmtId="4" fontId="1" fillId="0" borderId="5" xfId="0" applyNumberFormat="1" applyFont="1" applyFill="1" applyBorder="1"/>
    <xf numFmtId="3" fontId="4" fillId="0" borderId="37" xfId="2" applyNumberFormat="1" applyFont="1" applyFill="1" applyBorder="1" applyAlignment="1">
      <alignment vertical="center"/>
    </xf>
    <xf numFmtId="165" fontId="4" fillId="0" borderId="37" xfId="2" applyNumberFormat="1" applyFont="1" applyFill="1" applyBorder="1" applyAlignment="1">
      <alignment vertical="center"/>
    </xf>
    <xf numFmtId="4" fontId="2" fillId="0" borderId="37" xfId="0" applyNumberFormat="1" applyFont="1" applyFill="1" applyBorder="1" applyAlignment="1">
      <alignment vertical="center"/>
    </xf>
    <xf numFmtId="4" fontId="2" fillId="0" borderId="62" xfId="0" applyNumberFormat="1" applyFont="1" applyFill="1" applyBorder="1" applyAlignment="1">
      <alignment vertical="center"/>
    </xf>
    <xf numFmtId="0" fontId="1" fillId="0" borderId="0" xfId="2" applyFont="1" applyFill="1" applyBorder="1" applyAlignment="1"/>
    <xf numFmtId="0" fontId="3" fillId="0" borderId="0" xfId="2" applyFont="1" applyFill="1" applyBorder="1" applyAlignment="1"/>
    <xf numFmtId="3" fontId="3" fillId="0" borderId="0" xfId="2" applyNumberFormat="1" applyFont="1" applyFill="1" applyBorder="1"/>
    <xf numFmtId="0" fontId="21" fillId="0" borderId="0" xfId="0" applyFont="1" applyFill="1"/>
    <xf numFmtId="3" fontId="15" fillId="0" borderId="34" xfId="0" applyNumberFormat="1" applyFont="1" applyFill="1" applyBorder="1" applyAlignment="1">
      <alignment horizontal="right"/>
    </xf>
    <xf numFmtId="165" fontId="0" fillId="0" borderId="33" xfId="0" applyNumberFormat="1" applyFill="1" applyBorder="1" applyAlignment="1">
      <alignment horizontal="right"/>
    </xf>
    <xf numFmtId="3" fontId="0" fillId="0" borderId="34" xfId="0" applyNumberFormat="1" applyFill="1" applyBorder="1" applyAlignment="1">
      <alignment horizontal="right"/>
    </xf>
    <xf numFmtId="49" fontId="17" fillId="0" borderId="30" xfId="2" applyNumberFormat="1" applyFont="1" applyFill="1" applyBorder="1" applyAlignment="1">
      <alignment horizontal="center"/>
    </xf>
    <xf numFmtId="49" fontId="17" fillId="0" borderId="4" xfId="2" applyNumberFormat="1" applyFont="1" applyFill="1" applyBorder="1" applyAlignment="1">
      <alignment horizontal="left"/>
    </xf>
    <xf numFmtId="0" fontId="17" fillId="0" borderId="18" xfId="2" applyFont="1" applyFill="1" applyBorder="1"/>
    <xf numFmtId="49" fontId="17" fillId="0" borderId="4" xfId="2" applyNumberFormat="1" applyFont="1" applyFill="1" applyBorder="1"/>
    <xf numFmtId="3" fontId="17" fillId="0" borderId="18" xfId="2" applyNumberFormat="1" applyFont="1" applyFill="1" applyBorder="1" applyAlignment="1">
      <alignment horizontal="right"/>
    </xf>
    <xf numFmtId="165" fontId="17" fillId="0" borderId="18" xfId="2" applyNumberFormat="1" applyFont="1" applyFill="1" applyBorder="1" applyAlignment="1">
      <alignment horizontal="right"/>
    </xf>
    <xf numFmtId="4" fontId="17" fillId="0" borderId="18" xfId="0" applyNumberFormat="1" applyFont="1" applyFill="1" applyBorder="1"/>
    <xf numFmtId="49" fontId="17" fillId="0" borderId="11" xfId="2" applyNumberFormat="1" applyFont="1" applyFill="1" applyBorder="1" applyAlignment="1">
      <alignment horizontal="left"/>
    </xf>
    <xf numFmtId="0" fontId="17" fillId="0" borderId="21" xfId="2" applyFont="1" applyFill="1" applyBorder="1" applyAlignment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vertical="center" wrapText="1"/>
    </xf>
    <xf numFmtId="4" fontId="9" fillId="0" borderId="21" xfId="0" applyNumberFormat="1" applyFont="1" applyFill="1" applyBorder="1"/>
    <xf numFmtId="0" fontId="9" fillId="2" borderId="0" xfId="0" applyFont="1" applyFill="1"/>
    <xf numFmtId="0" fontId="13" fillId="2" borderId="0" xfId="0" applyFont="1" applyFill="1"/>
    <xf numFmtId="0" fontId="16" fillId="2" borderId="0" xfId="0" applyFont="1" applyFill="1"/>
    <xf numFmtId="0" fontId="15" fillId="2" borderId="0" xfId="0" applyFont="1" applyFill="1"/>
    <xf numFmtId="0" fontId="0" fillId="2" borderId="0" xfId="0" applyFill="1" applyAlignment="1">
      <alignment horizontal="right"/>
    </xf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29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14" fontId="17" fillId="2" borderId="0" xfId="0" applyNumberFormat="1" applyFont="1" applyFill="1" applyBorder="1" applyAlignment="1">
      <alignment horizontal="center"/>
    </xf>
    <xf numFmtId="14" fontId="17" fillId="2" borderId="4" xfId="0" applyNumberFormat="1" applyFont="1" applyFill="1" applyBorder="1" applyAlignment="1">
      <alignment horizontal="center"/>
    </xf>
    <xf numFmtId="0" fontId="13" fillId="2" borderId="58" xfId="0" applyFont="1" applyFill="1" applyBorder="1" applyAlignment="1">
      <alignment horizontal="left"/>
    </xf>
    <xf numFmtId="0" fontId="13" fillId="2" borderId="60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0" fontId="0" fillId="2" borderId="59" xfId="0" applyFill="1" applyBorder="1"/>
    <xf numFmtId="165" fontId="0" fillId="2" borderId="34" xfId="0" applyNumberFormat="1" applyFill="1" applyBorder="1"/>
    <xf numFmtId="0" fontId="0" fillId="2" borderId="60" xfId="0" applyFill="1" applyBorder="1"/>
    <xf numFmtId="0" fontId="0" fillId="2" borderId="61" xfId="0" applyFill="1" applyBorder="1"/>
    <xf numFmtId="49" fontId="7" fillId="2" borderId="46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3" fontId="7" fillId="2" borderId="21" xfId="2" applyNumberFormat="1" applyFont="1" applyFill="1" applyBorder="1"/>
    <xf numFmtId="165" fontId="7" fillId="2" borderId="21" xfId="2" applyNumberFormat="1" applyFont="1" applyFill="1" applyBorder="1"/>
    <xf numFmtId="4" fontId="7" fillId="2" borderId="16" xfId="2" applyNumberFormat="1" applyFont="1" applyFill="1" applyBorder="1"/>
    <xf numFmtId="4" fontId="7" fillId="2" borderId="52" xfId="0" applyNumberFormat="1" applyFont="1" applyFill="1" applyBorder="1"/>
    <xf numFmtId="49" fontId="7" fillId="2" borderId="11" xfId="2" applyNumberFormat="1" applyFont="1" applyFill="1" applyBorder="1" applyAlignment="1">
      <alignment horizontal="center"/>
    </xf>
    <xf numFmtId="2" fontId="7" fillId="2" borderId="21" xfId="0" applyNumberFormat="1" applyFont="1" applyFill="1" applyBorder="1"/>
    <xf numFmtId="2" fontId="7" fillId="2" borderId="19" xfId="0" applyNumberFormat="1" applyFont="1" applyFill="1" applyBorder="1"/>
    <xf numFmtId="0" fontId="2" fillId="2" borderId="8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/>
    </xf>
    <xf numFmtId="0" fontId="1" fillId="2" borderId="21" xfId="2" applyFont="1" applyFill="1" applyBorder="1"/>
    <xf numFmtId="3" fontId="1" fillId="2" borderId="21" xfId="0" applyNumberFormat="1" applyFont="1" applyFill="1" applyBorder="1"/>
    <xf numFmtId="165" fontId="1" fillId="2" borderId="21" xfId="0" applyNumberFormat="1" applyFont="1" applyFill="1" applyBorder="1"/>
    <xf numFmtId="3" fontId="1" fillId="2" borderId="19" xfId="0" applyNumberFormat="1" applyFont="1" applyFill="1" applyBorder="1"/>
    <xf numFmtId="4" fontId="1" fillId="2" borderId="16" xfId="2" applyNumberFormat="1" applyFont="1" applyFill="1" applyBorder="1"/>
    <xf numFmtId="4" fontId="1" fillId="2" borderId="52" xfId="0" applyNumberFormat="1" applyFont="1" applyFill="1" applyBorder="1"/>
    <xf numFmtId="0" fontId="1" fillId="2" borderId="18" xfId="2" applyFont="1" applyFill="1" applyBorder="1"/>
    <xf numFmtId="3" fontId="7" fillId="2" borderId="19" xfId="0" applyNumberFormat="1" applyFont="1" applyFill="1" applyBorder="1"/>
    <xf numFmtId="49" fontId="7" fillId="2" borderId="8" xfId="2" applyNumberFormat="1" applyFont="1" applyFill="1" applyBorder="1" applyAlignment="1">
      <alignment horizontal="center"/>
    </xf>
    <xf numFmtId="3" fontId="7" fillId="2" borderId="21" xfId="2" applyNumberFormat="1" applyFont="1" applyFill="1" applyBorder="1" applyAlignment="1">
      <alignment horizontal="right"/>
    </xf>
    <xf numFmtId="0" fontId="1" fillId="2" borderId="11" xfId="2" applyFont="1" applyFill="1" applyBorder="1"/>
    <xf numFmtId="0" fontId="1" fillId="2" borderId="20" xfId="2" applyFont="1" applyFill="1" applyBorder="1"/>
    <xf numFmtId="49" fontId="1" fillId="2" borderId="11" xfId="2" applyNumberFormat="1" applyFont="1" applyFill="1" applyBorder="1" applyAlignment="1">
      <alignment horizontal="center"/>
    </xf>
    <xf numFmtId="49" fontId="1" fillId="2" borderId="8" xfId="2" applyNumberFormat="1" applyFont="1" applyFill="1" applyBorder="1" applyAlignment="1">
      <alignment horizontal="center"/>
    </xf>
    <xf numFmtId="0" fontId="1" fillId="2" borderId="19" xfId="2" applyFont="1" applyFill="1" applyBorder="1"/>
    <xf numFmtId="0" fontId="1" fillId="2" borderId="10" xfId="2" applyFont="1" applyFill="1" applyBorder="1"/>
    <xf numFmtId="0" fontId="6" fillId="2" borderId="21" xfId="0" applyFont="1" applyFill="1" applyBorder="1" applyAlignment="1"/>
    <xf numFmtId="0" fontId="6" fillId="2" borderId="23" xfId="0" applyFont="1" applyFill="1" applyBorder="1"/>
    <xf numFmtId="0" fontId="23" fillId="2" borderId="0" xfId="0" applyFont="1" applyFill="1"/>
    <xf numFmtId="4" fontId="1" fillId="2" borderId="4" xfId="2" applyNumberFormat="1" applyFont="1" applyFill="1" applyBorder="1"/>
    <xf numFmtId="4" fontId="1" fillId="2" borderId="50" xfId="0" applyNumberFormat="1" applyFont="1" applyFill="1" applyBorder="1"/>
    <xf numFmtId="0" fontId="2" fillId="2" borderId="27" xfId="2" applyFont="1" applyFill="1" applyBorder="1"/>
    <xf numFmtId="3" fontId="2" fillId="2" borderId="27" xfId="2" applyNumberFormat="1" applyFont="1" applyFill="1" applyBorder="1"/>
    <xf numFmtId="165" fontId="2" fillId="2" borderId="27" xfId="2" applyNumberFormat="1" applyFont="1" applyFill="1" applyBorder="1"/>
    <xf numFmtId="4" fontId="2" fillId="2" borderId="27" xfId="2" applyNumberFormat="1" applyFont="1" applyFill="1" applyBorder="1"/>
    <xf numFmtId="4" fontId="2" fillId="2" borderId="48" xfId="0" applyNumberFormat="1" applyFont="1" applyFill="1" applyBorder="1"/>
    <xf numFmtId="0" fontId="17" fillId="2" borderId="60" xfId="0" applyFont="1" applyFill="1" applyBorder="1" applyAlignment="1">
      <alignment horizontal="center"/>
    </xf>
    <xf numFmtId="0" fontId="17" fillId="2" borderId="33" xfId="0" applyFont="1" applyFill="1" applyBorder="1"/>
    <xf numFmtId="49" fontId="17" fillId="2" borderId="33" xfId="0" applyNumberFormat="1" applyFont="1" applyFill="1" applyBorder="1"/>
    <xf numFmtId="0" fontId="29" fillId="2" borderId="59" xfId="0" applyFont="1" applyFill="1" applyBorder="1"/>
    <xf numFmtId="165" fontId="29" fillId="2" borderId="34" xfId="0" applyNumberFormat="1" applyFont="1" applyFill="1" applyBorder="1"/>
    <xf numFmtId="0" fontId="29" fillId="2" borderId="60" xfId="0" applyFont="1" applyFill="1" applyBorder="1"/>
    <xf numFmtId="0" fontId="29" fillId="2" borderId="34" xfId="0" applyFont="1" applyFill="1" applyBorder="1"/>
    <xf numFmtId="0" fontId="29" fillId="2" borderId="61" xfId="0" applyFont="1" applyFill="1" applyBorder="1"/>
    <xf numFmtId="0" fontId="17" fillId="2" borderId="21" xfId="2" applyFont="1" applyFill="1" applyBorder="1" applyAlignment="1">
      <alignment horizontal="left"/>
    </xf>
    <xf numFmtId="3" fontId="17" fillId="2" borderId="21" xfId="2" applyNumberFormat="1" applyFont="1" applyFill="1" applyBorder="1"/>
    <xf numFmtId="165" fontId="17" fillId="2" borderId="21" xfId="2" applyNumberFormat="1" applyFont="1" applyFill="1" applyBorder="1"/>
    <xf numFmtId="4" fontId="17" fillId="2" borderId="16" xfId="2" applyNumberFormat="1" applyFont="1" applyFill="1" applyBorder="1"/>
    <xf numFmtId="4" fontId="17" fillId="2" borderId="52" xfId="0" applyNumberFormat="1" applyFont="1" applyFill="1" applyBorder="1"/>
    <xf numFmtId="49" fontId="17" fillId="2" borderId="15" xfId="2" applyNumberFormat="1" applyFont="1" applyFill="1" applyBorder="1" applyAlignment="1">
      <alignment horizontal="center"/>
    </xf>
    <xf numFmtId="0" fontId="17" fillId="2" borderId="14" xfId="2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/>
    </xf>
    <xf numFmtId="165" fontId="17" fillId="2" borderId="14" xfId="0" applyNumberFormat="1" applyFont="1" applyFill="1" applyBorder="1" applyAlignment="1">
      <alignment horizontal="right"/>
    </xf>
    <xf numFmtId="4" fontId="17" fillId="2" borderId="21" xfId="2" applyNumberFormat="1" applyFont="1" applyFill="1" applyBorder="1"/>
    <xf numFmtId="4" fontId="17" fillId="2" borderId="57" xfId="0" applyNumberFormat="1" applyFont="1" applyFill="1" applyBorder="1"/>
    <xf numFmtId="0" fontId="29" fillId="2" borderId="11" xfId="0" applyFont="1" applyFill="1" applyBorder="1"/>
    <xf numFmtId="0" fontId="29" fillId="2" borderId="21" xfId="0" applyFont="1" applyFill="1" applyBorder="1"/>
    <xf numFmtId="0" fontId="9" fillId="2" borderId="21" xfId="0" applyFont="1" applyFill="1" applyBorder="1" applyAlignment="1">
      <alignment horizontal="justify" vertical="center" wrapText="1"/>
    </xf>
    <xf numFmtId="3" fontId="9" fillId="2" borderId="21" xfId="0" applyNumberFormat="1" applyFont="1" applyFill="1" applyBorder="1" applyAlignment="1">
      <alignment horizontal="right" vertical="center" wrapText="1"/>
    </xf>
    <xf numFmtId="165" fontId="9" fillId="2" borderId="21" xfId="0" applyNumberFormat="1" applyFont="1" applyFill="1" applyBorder="1" applyAlignment="1">
      <alignment horizontal="right" vertical="center" wrapText="1"/>
    </xf>
    <xf numFmtId="3" fontId="29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/>
    <xf numFmtId="4" fontId="9" fillId="2" borderId="57" xfId="0" applyNumberFormat="1" applyFont="1" applyFill="1" applyBorder="1"/>
    <xf numFmtId="165" fontId="29" fillId="2" borderId="21" xfId="0" applyNumberFormat="1" applyFont="1" applyFill="1" applyBorder="1" applyAlignment="1">
      <alignment horizontal="right"/>
    </xf>
    <xf numFmtId="0" fontId="17" fillId="2" borderId="21" xfId="0" applyFont="1" applyFill="1" applyBorder="1" applyAlignment="1"/>
    <xf numFmtId="3" fontId="32" fillId="2" borderId="21" xfId="0" applyNumberFormat="1" applyFont="1" applyFill="1" applyBorder="1" applyAlignment="1">
      <alignment horizontal="right"/>
    </xf>
    <xf numFmtId="165" fontId="32" fillId="2" borderId="21" xfId="0" applyNumberFormat="1" applyFont="1" applyFill="1" applyBorder="1" applyAlignment="1">
      <alignment horizontal="right"/>
    </xf>
    <xf numFmtId="0" fontId="2" fillId="2" borderId="26" xfId="2" applyFont="1" applyFill="1" applyBorder="1"/>
    <xf numFmtId="0" fontId="5" fillId="2" borderId="0" xfId="0" applyFont="1" applyFill="1"/>
    <xf numFmtId="0" fontId="4" fillId="2" borderId="0" xfId="0" applyFont="1" applyFill="1"/>
    <xf numFmtId="165" fontId="0" fillId="2" borderId="0" xfId="0" applyNumberFormat="1" applyFill="1" applyAlignment="1">
      <alignment horizontal="right"/>
    </xf>
    <xf numFmtId="0" fontId="17" fillId="2" borderId="28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7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0" fontId="13" fillId="2" borderId="10" xfId="0" applyFont="1" applyFill="1" applyBorder="1"/>
    <xf numFmtId="49" fontId="13" fillId="2" borderId="24" xfId="0" applyNumberFormat="1" applyFont="1" applyFill="1" applyBorder="1"/>
    <xf numFmtId="0" fontId="14" fillId="2" borderId="34" xfId="0" applyFont="1" applyFill="1" applyBorder="1"/>
    <xf numFmtId="4" fontId="0" fillId="2" borderId="34" xfId="0" applyNumberFormat="1" applyFill="1" applyBorder="1"/>
    <xf numFmtId="4" fontId="0" fillId="2" borderId="61" xfId="0" applyNumberFormat="1" applyFill="1" applyBorder="1"/>
    <xf numFmtId="49" fontId="6" fillId="2" borderId="11" xfId="2" applyNumberFormat="1" applyFont="1" applyFill="1" applyBorder="1" applyAlignment="1">
      <alignment horizontal="center"/>
    </xf>
    <xf numFmtId="49" fontId="6" fillId="2" borderId="22" xfId="2" applyNumberFormat="1" applyFont="1" applyFill="1" applyBorder="1" applyAlignment="1">
      <alignment horizontal="left"/>
    </xf>
    <xf numFmtId="49" fontId="6" fillId="2" borderId="20" xfId="2" applyNumberFormat="1" applyFont="1" applyFill="1" applyBorder="1" applyAlignment="1">
      <alignment horizontal="left"/>
    </xf>
    <xf numFmtId="49" fontId="6" fillId="2" borderId="19" xfId="2" applyNumberFormat="1" applyFont="1" applyFill="1" applyBorder="1" applyAlignment="1">
      <alignment horizontal="left"/>
    </xf>
    <xf numFmtId="3" fontId="6" fillId="2" borderId="21" xfId="2" applyNumberFormat="1" applyFont="1" applyFill="1" applyBorder="1"/>
    <xf numFmtId="49" fontId="3" fillId="2" borderId="15" xfId="2" applyNumberFormat="1" applyFont="1" applyFill="1" applyBorder="1" applyAlignment="1">
      <alignment horizontal="center"/>
    </xf>
    <xf numFmtId="49" fontId="3" fillId="2" borderId="23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11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left"/>
    </xf>
    <xf numFmtId="0" fontId="1" fillId="2" borderId="21" xfId="2" applyFont="1" applyFill="1" applyBorder="1" applyAlignment="1">
      <alignment vertical="center"/>
    </xf>
    <xf numFmtId="3" fontId="1" fillId="2" borderId="14" xfId="2" applyNumberFormat="1" applyFont="1" applyFill="1" applyBorder="1"/>
    <xf numFmtId="49" fontId="3" fillId="2" borderId="12" xfId="2" applyNumberFormat="1" applyFont="1" applyFill="1" applyBorder="1" applyAlignment="1">
      <alignment horizontal="center"/>
    </xf>
    <xf numFmtId="0" fontId="9" fillId="2" borderId="21" xfId="0" applyFont="1" applyFill="1" applyBorder="1" applyAlignment="1">
      <alignment wrapText="1"/>
    </xf>
    <xf numFmtId="0" fontId="4" fillId="2" borderId="38" xfId="2" applyFont="1" applyFill="1" applyBorder="1" applyAlignment="1">
      <alignment vertical="center"/>
    </xf>
    <xf numFmtId="3" fontId="4" fillId="2" borderId="27" xfId="2" applyNumberFormat="1" applyFont="1" applyFill="1" applyBorder="1"/>
    <xf numFmtId="165" fontId="4" fillId="2" borderId="27" xfId="2" applyNumberFormat="1" applyFont="1" applyFill="1" applyBorder="1"/>
    <xf numFmtId="4" fontId="4" fillId="2" borderId="27" xfId="2" applyNumberFormat="1" applyFont="1" applyFill="1" applyBorder="1"/>
    <xf numFmtId="4" fontId="4" fillId="2" borderId="62" xfId="2" applyNumberFormat="1" applyFont="1" applyFill="1" applyBorder="1"/>
    <xf numFmtId="49" fontId="4" fillId="2" borderId="29" xfId="2" applyNumberFormat="1" applyFont="1" applyFill="1" applyBorder="1" applyAlignment="1">
      <alignment horizontal="left"/>
    </xf>
    <xf numFmtId="0" fontId="4" fillId="2" borderId="29" xfId="2" applyFont="1" applyFill="1" applyBorder="1" applyAlignment="1"/>
    <xf numFmtId="0" fontId="4" fillId="2" borderId="67" xfId="2" applyFont="1" applyFill="1" applyBorder="1" applyAlignment="1">
      <alignment vertical="center"/>
    </xf>
    <xf numFmtId="3" fontId="4" fillId="2" borderId="2" xfId="2" applyNumberFormat="1" applyFont="1" applyFill="1" applyBorder="1"/>
    <xf numFmtId="3" fontId="4" fillId="2" borderId="29" xfId="2" applyNumberFormat="1" applyFont="1" applyFill="1" applyBorder="1"/>
    <xf numFmtId="4" fontId="4" fillId="2" borderId="2" xfId="2" applyNumberFormat="1" applyFont="1" applyFill="1" applyBorder="1"/>
    <xf numFmtId="4" fontId="4" fillId="2" borderId="29" xfId="2" applyNumberFormat="1" applyFont="1" applyFill="1" applyBorder="1"/>
    <xf numFmtId="49" fontId="4" fillId="2" borderId="32" xfId="2" applyNumberFormat="1" applyFont="1" applyFill="1" applyBorder="1" applyAlignment="1">
      <alignment horizontal="left"/>
    </xf>
    <xf numFmtId="0" fontId="4" fillId="2" borderId="32" xfId="2" applyFont="1" applyFill="1" applyBorder="1" applyAlignment="1"/>
    <xf numFmtId="0" fontId="4" fillId="2" borderId="56" xfId="2" applyFont="1" applyFill="1" applyBorder="1" applyAlignment="1">
      <alignment vertical="center"/>
    </xf>
    <xf numFmtId="3" fontId="4" fillId="2" borderId="7" xfId="2" applyNumberFormat="1" applyFont="1" applyFill="1" applyBorder="1"/>
    <xf numFmtId="3" fontId="4" fillId="2" borderId="32" xfId="2" applyNumberFormat="1" applyFont="1" applyFill="1" applyBorder="1"/>
    <xf numFmtId="4" fontId="4" fillId="2" borderId="7" xfId="2" applyNumberFormat="1" applyFont="1" applyFill="1" applyBorder="1"/>
    <xf numFmtId="4" fontId="4" fillId="2" borderId="32" xfId="2" applyNumberFormat="1" applyFont="1" applyFill="1" applyBorder="1"/>
    <xf numFmtId="49" fontId="17" fillId="2" borderId="11" xfId="2" applyNumberFormat="1" applyFont="1" applyFill="1" applyBorder="1" applyAlignment="1">
      <alignment horizontal="center"/>
    </xf>
    <xf numFmtId="49" fontId="17" fillId="2" borderId="21" xfId="2" applyNumberFormat="1" applyFont="1" applyFill="1" applyBorder="1" applyAlignment="1">
      <alignment horizontal="left"/>
    </xf>
    <xf numFmtId="3" fontId="17" fillId="2" borderId="21" xfId="2" applyNumberFormat="1" applyFont="1" applyFill="1" applyBorder="1" applyAlignment="1">
      <alignment horizontal="right"/>
    </xf>
    <xf numFmtId="165" fontId="17" fillId="2" borderId="21" xfId="2" applyNumberFormat="1" applyFont="1" applyFill="1" applyBorder="1" applyAlignment="1">
      <alignment horizontal="right"/>
    </xf>
    <xf numFmtId="3" fontId="9" fillId="2" borderId="21" xfId="2" applyNumberFormat="1" applyFont="1" applyFill="1" applyBorder="1" applyAlignment="1">
      <alignment horizontal="right"/>
    </xf>
    <xf numFmtId="49" fontId="9" fillId="2" borderId="11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>
      <alignment horizontal="center"/>
    </xf>
    <xf numFmtId="0" fontId="3" fillId="2" borderId="22" xfId="2" applyFont="1" applyFill="1" applyBorder="1" applyAlignment="1"/>
    <xf numFmtId="3" fontId="9" fillId="2" borderId="21" xfId="0" applyNumberFormat="1" applyFont="1" applyFill="1" applyBorder="1" applyAlignment="1">
      <alignment horizontal="right"/>
    </xf>
    <xf numFmtId="165" fontId="9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/>
    <xf numFmtId="4" fontId="9" fillId="2" borderId="57" xfId="0" applyNumberFormat="1" applyFont="1" applyFill="1" applyBorder="1" applyAlignment="1"/>
    <xf numFmtId="0" fontId="0" fillId="2" borderId="0" xfId="0" applyFill="1" applyAlignment="1"/>
    <xf numFmtId="0" fontId="29" fillId="2" borderId="11" xfId="0" applyFont="1" applyFill="1" applyBorder="1" applyAlignment="1"/>
    <xf numFmtId="0" fontId="29" fillId="2" borderId="21" xfId="0" applyFont="1" applyFill="1" applyBorder="1" applyAlignment="1"/>
    <xf numFmtId="0" fontId="4" fillId="2" borderId="0" xfId="1" applyFont="1" applyFill="1" applyBorder="1" applyAlignment="1">
      <alignment horizontal="left"/>
    </xf>
    <xf numFmtId="0" fontId="1" fillId="2" borderId="0" xfId="1" applyFill="1"/>
    <xf numFmtId="0" fontId="5" fillId="2" borderId="0" xfId="1" applyFont="1" applyFill="1"/>
    <xf numFmtId="0" fontId="6" fillId="2" borderId="31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left"/>
    </xf>
    <xf numFmtId="0" fontId="3" fillId="2" borderId="16" xfId="1" applyFont="1" applyFill="1" applyBorder="1" applyAlignment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165" fontId="6" fillId="2" borderId="21" xfId="2" applyNumberFormat="1" applyFont="1" applyFill="1" applyBorder="1"/>
    <xf numFmtId="2" fontId="7" fillId="2" borderId="51" xfId="0" applyNumberFormat="1" applyFont="1" applyFill="1" applyBorder="1"/>
    <xf numFmtId="0" fontId="3" fillId="2" borderId="21" xfId="2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0" fontId="3" fillId="2" borderId="21" xfId="2" applyFont="1" applyFill="1" applyBorder="1"/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49" fontId="3" fillId="2" borderId="21" xfId="2" applyNumberFormat="1" applyFont="1" applyFill="1" applyBorder="1"/>
    <xf numFmtId="0" fontId="0" fillId="2" borderId="11" xfId="0" applyFill="1" applyBorder="1"/>
    <xf numFmtId="0" fontId="3" fillId="2" borderId="21" xfId="2" applyFont="1" applyFill="1" applyBorder="1" applyAlignment="1">
      <alignment horizontal="left" vertical="top" wrapText="1"/>
    </xf>
    <xf numFmtId="165" fontId="1" fillId="2" borderId="19" xfId="0" applyNumberFormat="1" applyFont="1" applyFill="1" applyBorder="1"/>
    <xf numFmtId="2" fontId="1" fillId="2" borderId="20" xfId="0" applyNumberFormat="1" applyFont="1" applyFill="1" applyBorder="1"/>
    <xf numFmtId="0" fontId="6" fillId="2" borderId="21" xfId="2" applyFont="1" applyFill="1" applyBorder="1" applyAlignment="1">
      <alignment horizontal="left"/>
    </xf>
    <xf numFmtId="0" fontId="0" fillId="2" borderId="0" xfId="0" applyFill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165" fontId="1" fillId="2" borderId="13" xfId="0" applyNumberFormat="1" applyFont="1" applyFill="1" applyBorder="1"/>
    <xf numFmtId="3" fontId="1" fillId="2" borderId="14" xfId="0" applyNumberFormat="1" applyFont="1" applyFill="1" applyBorder="1"/>
    <xf numFmtId="0" fontId="4" fillId="2" borderId="27" xfId="2" applyFont="1" applyFill="1" applyBorder="1" applyAlignment="1">
      <alignment vertical="center"/>
    </xf>
    <xf numFmtId="3" fontId="2" fillId="2" borderId="27" xfId="2" applyNumberFormat="1" applyFont="1" applyFill="1" applyBorder="1" applyAlignment="1">
      <alignment vertical="center"/>
    </xf>
    <xf numFmtId="165" fontId="2" fillId="2" borderId="27" xfId="2" applyNumberFormat="1" applyFont="1" applyFill="1" applyBorder="1" applyAlignment="1">
      <alignment vertical="center"/>
    </xf>
    <xf numFmtId="2" fontId="2" fillId="2" borderId="27" xfId="0" applyNumberFormat="1" applyFont="1" applyFill="1" applyBorder="1" applyAlignment="1">
      <alignment vertical="center"/>
    </xf>
    <xf numFmtId="2" fontId="2" fillId="2" borderId="48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2" applyFill="1"/>
    <xf numFmtId="0" fontId="17" fillId="2" borderId="21" xfId="2" applyFont="1" applyFill="1" applyBorder="1"/>
    <xf numFmtId="2" fontId="17" fillId="2" borderId="21" xfId="0" applyNumberFormat="1" applyFont="1" applyFill="1" applyBorder="1"/>
    <xf numFmtId="2" fontId="17" fillId="2" borderId="57" xfId="0" applyNumberFormat="1" applyFont="1" applyFill="1" applyBorder="1"/>
    <xf numFmtId="0" fontId="9" fillId="2" borderId="21" xfId="2" applyFont="1" applyFill="1" applyBorder="1" applyAlignment="1">
      <alignment horizontal="center"/>
    </xf>
    <xf numFmtId="0" fontId="9" fillId="2" borderId="21" xfId="0" applyFont="1" applyFill="1" applyBorder="1" applyAlignment="1">
      <alignment horizontal="justify" wrapText="1"/>
    </xf>
    <xf numFmtId="3" fontId="9" fillId="2" borderId="21" xfId="0" applyNumberFormat="1" applyFont="1" applyFill="1" applyBorder="1" applyAlignment="1">
      <alignment horizontal="right" wrapText="1"/>
    </xf>
    <xf numFmtId="165" fontId="9" fillId="2" borderId="21" xfId="0" applyNumberFormat="1" applyFont="1" applyFill="1" applyBorder="1" applyAlignment="1">
      <alignment horizontal="right" wrapText="1"/>
    </xf>
    <xf numFmtId="2" fontId="9" fillId="2" borderId="21" xfId="0" applyNumberFormat="1" applyFont="1" applyFill="1" applyBorder="1" applyAlignment="1"/>
    <xf numFmtId="2" fontId="9" fillId="2" borderId="57" xfId="0" applyNumberFormat="1" applyFont="1" applyFill="1" applyBorder="1" applyAlignment="1"/>
    <xf numFmtId="0" fontId="4" fillId="2" borderId="0" xfId="0" applyFont="1" applyFill="1" applyBorder="1" applyAlignment="1"/>
    <xf numFmtId="0" fontId="0" fillId="2" borderId="0" xfId="0" applyFill="1" applyBorder="1" applyAlignment="1"/>
    <xf numFmtId="0" fontId="30" fillId="2" borderId="0" xfId="0" applyFont="1" applyFill="1" applyAlignment="1">
      <alignment horizontal="right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49" fontId="4" fillId="2" borderId="9" xfId="0" applyNumberFormat="1" applyFont="1" applyFill="1" applyBorder="1"/>
    <xf numFmtId="0" fontId="0" fillId="2" borderId="16" xfId="0" applyFill="1" applyBorder="1"/>
    <xf numFmtId="0" fontId="1" fillId="2" borderId="4" xfId="0" applyFont="1" applyFill="1" applyBorder="1"/>
    <xf numFmtId="49" fontId="17" fillId="2" borderId="8" xfId="0" applyNumberFormat="1" applyFont="1" applyFill="1" applyBorder="1" applyAlignment="1">
      <alignment horizontal="center"/>
    </xf>
    <xf numFmtId="0" fontId="17" fillId="2" borderId="22" xfId="0" applyFont="1" applyFill="1" applyBorder="1" applyAlignment="1"/>
    <xf numFmtId="0" fontId="17" fillId="2" borderId="23" xfId="0" applyFont="1" applyFill="1" applyBorder="1"/>
    <xf numFmtId="3" fontId="17" fillId="2" borderId="21" xfId="0" applyNumberFormat="1" applyFont="1" applyFill="1" applyBorder="1"/>
    <xf numFmtId="165" fontId="17" fillId="2" borderId="21" xfId="0" applyNumberFormat="1" applyFont="1" applyFill="1" applyBorder="1"/>
    <xf numFmtId="0" fontId="17" fillId="2" borderId="12" xfId="0" applyFont="1" applyFill="1" applyBorder="1" applyAlignment="1"/>
    <xf numFmtId="0" fontId="17" fillId="2" borderId="23" xfId="0" applyFont="1" applyFill="1" applyBorder="1" applyAlignment="1">
      <alignment horizontal="left"/>
    </xf>
    <xf numFmtId="49" fontId="17" fillId="2" borderId="11" xfId="0" applyNumberFormat="1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165" fontId="9" fillId="2" borderId="21" xfId="0" applyNumberFormat="1" applyFont="1" applyFill="1" applyBorder="1"/>
    <xf numFmtId="3" fontId="9" fillId="2" borderId="20" xfId="0" applyNumberFormat="1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23" xfId="0" applyFont="1" applyFill="1" applyBorder="1"/>
    <xf numFmtId="3" fontId="12" fillId="2" borderId="20" xfId="0" applyNumberFormat="1" applyFont="1" applyFill="1" applyBorder="1"/>
    <xf numFmtId="49" fontId="17" fillId="2" borderId="21" xfId="0" applyNumberFormat="1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49" fontId="9" fillId="2" borderId="23" xfId="0" applyNumberFormat="1" applyFont="1" applyFill="1" applyBorder="1"/>
    <xf numFmtId="0" fontId="9" fillId="2" borderId="15" xfId="0" applyFont="1" applyFill="1" applyBorder="1"/>
    <xf numFmtId="0" fontId="9" fillId="2" borderId="14" xfId="0" applyFont="1" applyFill="1" applyBorder="1"/>
    <xf numFmtId="0" fontId="12" fillId="2" borderId="14" xfId="0" applyFont="1" applyFill="1" applyBorder="1"/>
    <xf numFmtId="165" fontId="12" fillId="2" borderId="14" xfId="0" applyNumberFormat="1" applyFont="1" applyFill="1" applyBorder="1"/>
    <xf numFmtId="3" fontId="12" fillId="2" borderId="23" xfId="0" applyNumberFormat="1" applyFont="1" applyFill="1" applyBorder="1"/>
    <xf numFmtId="4" fontId="1" fillId="2" borderId="18" xfId="0" applyNumberFormat="1" applyFont="1" applyFill="1" applyBorder="1"/>
    <xf numFmtId="4" fontId="1" fillId="2" borderId="5" xfId="0" applyNumberFormat="1" applyFont="1" applyFill="1" applyBorder="1"/>
    <xf numFmtId="165" fontId="2" fillId="2" borderId="27" xfId="0" applyNumberFormat="1" applyFont="1" applyFill="1" applyBorder="1" applyAlignment="1">
      <alignment vertical="center"/>
    </xf>
    <xf numFmtId="4" fontId="2" fillId="2" borderId="37" xfId="0" applyNumberFormat="1" applyFont="1" applyFill="1" applyBorder="1" applyAlignment="1">
      <alignment vertical="center"/>
    </xf>
    <xf numFmtId="0" fontId="6" fillId="2" borderId="2" xfId="0" applyFont="1" applyFill="1" applyBorder="1"/>
    <xf numFmtId="49" fontId="6" fillId="2" borderId="7" xfId="0" applyNumberFormat="1" applyFont="1" applyFill="1" applyBorder="1" applyAlignment="1">
      <alignment horizontal="center"/>
    </xf>
    <xf numFmtId="0" fontId="17" fillId="2" borderId="21" xfId="0" applyFont="1" applyFill="1" applyBorder="1"/>
    <xf numFmtId="3" fontId="17" fillId="2" borderId="21" xfId="0" applyNumberFormat="1" applyFont="1" applyFill="1" applyBorder="1" applyAlignment="1">
      <alignment horizontal="right"/>
    </xf>
    <xf numFmtId="165" fontId="17" fillId="2" borderId="21" xfId="0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horizontal="center"/>
    </xf>
    <xf numFmtId="0" fontId="9" fillId="2" borderId="21" xfId="0" applyFont="1" applyFill="1" applyBorder="1" applyAlignment="1">
      <alignment vertical="center" wrapText="1"/>
    </xf>
    <xf numFmtId="0" fontId="1" fillId="2" borderId="17" xfId="0" applyFont="1" applyFill="1" applyBorder="1"/>
    <xf numFmtId="0" fontId="9" fillId="2" borderId="21" xfId="0" applyFont="1" applyFill="1" applyBorder="1" applyAlignment="1">
      <alignment horizontal="center"/>
    </xf>
    <xf numFmtId="0" fontId="9" fillId="2" borderId="40" xfId="0" applyFont="1" applyFill="1" applyBorder="1" applyAlignment="1">
      <alignment vertical="center" wrapText="1"/>
    </xf>
    <xf numFmtId="49" fontId="6" fillId="0" borderId="16" xfId="2" applyNumberFormat="1" applyFont="1" applyFill="1" applyBorder="1" applyAlignment="1">
      <alignment horizontal="left"/>
    </xf>
    <xf numFmtId="49" fontId="6" fillId="0" borderId="21" xfId="2" applyNumberFormat="1" applyFont="1" applyFill="1" applyBorder="1"/>
    <xf numFmtId="49" fontId="3" fillId="0" borderId="15" xfId="2" applyNumberFormat="1" applyFont="1" applyFill="1" applyBorder="1" applyAlignment="1">
      <alignment horizontal="center"/>
    </xf>
    <xf numFmtId="49" fontId="3" fillId="0" borderId="23" xfId="2" applyNumberFormat="1" applyFont="1" applyFill="1" applyBorder="1" applyAlignment="1">
      <alignment horizontal="center"/>
    </xf>
    <xf numFmtId="0" fontId="6" fillId="0" borderId="12" xfId="2" applyFont="1" applyFill="1" applyBorder="1" applyAlignment="1">
      <alignment horizontal="left"/>
    </xf>
    <xf numFmtId="0" fontId="7" fillId="0" borderId="21" xfId="2" applyFont="1" applyFill="1" applyBorder="1"/>
    <xf numFmtId="49" fontId="3" fillId="0" borderId="20" xfId="2" applyNumberFormat="1" applyFont="1" applyFill="1" applyBorder="1" applyAlignment="1">
      <alignment horizontal="center"/>
    </xf>
    <xf numFmtId="0" fontId="3" fillId="0" borderId="22" xfId="2" applyNumberFormat="1" applyFont="1" applyFill="1" applyBorder="1" applyAlignment="1">
      <alignment horizontal="left" shrinkToFit="1"/>
    </xf>
    <xf numFmtId="3" fontId="3" fillId="0" borderId="16" xfId="2" applyNumberFormat="1" applyFont="1" applyFill="1" applyBorder="1"/>
    <xf numFmtId="165" fontId="3" fillId="0" borderId="16" xfId="2" applyNumberFormat="1" applyFont="1" applyFill="1" applyBorder="1"/>
    <xf numFmtId="0" fontId="19" fillId="0" borderId="22" xfId="2" applyNumberFormat="1" applyFont="1" applyFill="1" applyBorder="1" applyAlignment="1">
      <alignment horizontal="left"/>
    </xf>
    <xf numFmtId="3" fontId="19" fillId="0" borderId="21" xfId="2" applyNumberFormat="1" applyFont="1" applyFill="1" applyBorder="1"/>
    <xf numFmtId="0" fontId="3" fillId="0" borderId="22" xfId="2" applyNumberFormat="1" applyFont="1" applyFill="1" applyBorder="1" applyAlignment="1">
      <alignment horizontal="left"/>
    </xf>
    <xf numFmtId="3" fontId="3" fillId="0" borderId="21" xfId="2" applyNumberFormat="1" applyFont="1" applyFill="1" applyBorder="1"/>
    <xf numFmtId="3" fontId="11" fillId="0" borderId="21" xfId="2" applyNumberFormat="1" applyFont="1" applyFill="1" applyBorder="1"/>
    <xf numFmtId="49" fontId="3" fillId="0" borderId="22" xfId="2" applyNumberFormat="1" applyFont="1" applyFill="1" applyBorder="1" applyAlignment="1">
      <alignment horizontal="left"/>
    </xf>
    <xf numFmtId="0" fontId="3" fillId="0" borderId="8" xfId="2" applyFont="1" applyFill="1" applyBorder="1" applyAlignment="1">
      <alignment horizontal="center"/>
    </xf>
    <xf numFmtId="49" fontId="9" fillId="0" borderId="10" xfId="2" applyNumberFormat="1" applyFont="1" applyFill="1" applyBorder="1" applyAlignment="1" applyProtection="1">
      <alignment horizontal="center"/>
      <protection locked="0"/>
    </xf>
    <xf numFmtId="0" fontId="12" fillId="0" borderId="16" xfId="2" applyFont="1" applyFill="1" applyBorder="1" applyAlignment="1"/>
    <xf numFmtId="49" fontId="3" fillId="0" borderId="47" xfId="2" applyNumberFormat="1" applyFont="1" applyFill="1" applyBorder="1" applyAlignment="1">
      <alignment horizontal="center"/>
    </xf>
    <xf numFmtId="49" fontId="3" fillId="0" borderId="43" xfId="2" applyNumberFormat="1" applyFont="1" applyFill="1" applyBorder="1" applyAlignment="1">
      <alignment horizontal="center"/>
    </xf>
    <xf numFmtId="0" fontId="19" fillId="0" borderId="41" xfId="2" applyNumberFormat="1" applyFont="1" applyFill="1" applyBorder="1" applyAlignment="1">
      <alignment horizontal="left"/>
    </xf>
    <xf numFmtId="3" fontId="11" fillId="0" borderId="40" xfId="2" applyNumberFormat="1" applyFont="1" applyFill="1" applyBorder="1"/>
    <xf numFmtId="3" fontId="11" fillId="0" borderId="0" xfId="2" applyNumberFormat="1" applyFont="1" applyFill="1" applyBorder="1"/>
    <xf numFmtId="0" fontId="6" fillId="0" borderId="39" xfId="1" applyFont="1" applyFill="1" applyBorder="1" applyAlignment="1">
      <alignment horizontal="center"/>
    </xf>
    <xf numFmtId="49" fontId="3" fillId="0" borderId="10" xfId="2" applyNumberFormat="1" applyFont="1" applyFill="1" applyBorder="1" applyAlignment="1">
      <alignment horizontal="center"/>
    </xf>
    <xf numFmtId="0" fontId="3" fillId="0" borderId="17" xfId="2" applyNumberFormat="1" applyFont="1" applyFill="1" applyBorder="1" applyAlignment="1">
      <alignment horizontal="left"/>
    </xf>
    <xf numFmtId="3" fontId="3" fillId="0" borderId="34" xfId="2" applyNumberFormat="1" applyFont="1" applyFill="1" applyBorder="1"/>
    <xf numFmtId="165" fontId="3" fillId="0" borderId="34" xfId="2" applyNumberFormat="1" applyFont="1" applyFill="1" applyBorder="1"/>
    <xf numFmtId="3" fontId="29" fillId="0" borderId="60" xfId="0" applyNumberFormat="1" applyFont="1" applyFill="1" applyBorder="1"/>
    <xf numFmtId="4" fontId="1" fillId="0" borderId="2" xfId="2" applyNumberFormat="1" applyFont="1" applyFill="1" applyBorder="1"/>
    <xf numFmtId="4" fontId="1" fillId="0" borderId="49" xfId="0" applyNumberFormat="1" applyFont="1" applyFill="1" applyBorder="1"/>
    <xf numFmtId="0" fontId="19" fillId="0" borderId="21" xfId="2" applyNumberFormat="1" applyFont="1" applyFill="1" applyBorder="1" applyAlignment="1">
      <alignment horizontal="left"/>
    </xf>
    <xf numFmtId="3" fontId="17" fillId="0" borderId="21" xfId="0" applyNumberFormat="1" applyFont="1" applyFill="1" applyBorder="1" applyAlignment="1"/>
    <xf numFmtId="3" fontId="12" fillId="0" borderId="21" xfId="0" applyNumberFormat="1" applyFont="1" applyFill="1" applyBorder="1" applyAlignment="1">
      <alignment horizontal="right"/>
    </xf>
    <xf numFmtId="165" fontId="12" fillId="0" borderId="21" xfId="0" applyNumberFormat="1" applyFont="1" applyFill="1" applyBorder="1" applyAlignment="1">
      <alignment horizontal="right"/>
    </xf>
    <xf numFmtId="4" fontId="12" fillId="0" borderId="21" xfId="0" applyNumberFormat="1" applyFont="1" applyFill="1" applyBorder="1" applyAlignment="1">
      <alignment horizontal="right"/>
    </xf>
    <xf numFmtId="4" fontId="12" fillId="0" borderId="57" xfId="0" applyNumberFormat="1" applyFont="1" applyFill="1" applyBorder="1" applyAlignment="1">
      <alignment horizontal="right"/>
    </xf>
    <xf numFmtId="165" fontId="17" fillId="0" borderId="21" xfId="0" applyNumberFormat="1" applyFont="1" applyFill="1" applyBorder="1" applyAlignment="1"/>
    <xf numFmtId="4" fontId="17" fillId="0" borderId="21" xfId="0" applyNumberFormat="1" applyFont="1" applyFill="1" applyBorder="1" applyAlignment="1"/>
    <xf numFmtId="4" fontId="19" fillId="0" borderId="57" xfId="0" applyNumberFormat="1" applyFont="1" applyFill="1" applyBorder="1"/>
    <xf numFmtId="165" fontId="12" fillId="0" borderId="21" xfId="0" applyNumberFormat="1" applyFont="1" applyFill="1" applyBorder="1" applyAlignment="1"/>
    <xf numFmtId="3" fontId="12" fillId="0" borderId="21" xfId="0" applyNumberFormat="1" applyFont="1" applyFill="1" applyBorder="1" applyAlignment="1"/>
    <xf numFmtId="165" fontId="1" fillId="0" borderId="21" xfId="0" applyNumberFormat="1" applyFont="1" applyFill="1" applyBorder="1" applyAlignment="1">
      <alignment horizontal="right"/>
    </xf>
    <xf numFmtId="165" fontId="1" fillId="0" borderId="34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3" fontId="19" fillId="0" borderId="21" xfId="0" applyNumberFormat="1" applyFont="1" applyFill="1" applyBorder="1" applyAlignment="1">
      <alignment horizontal="right"/>
    </xf>
    <xf numFmtId="3" fontId="19" fillId="0" borderId="4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9" fillId="0" borderId="19" xfId="0" applyNumberFormat="1" applyFont="1" applyFill="1" applyBorder="1"/>
    <xf numFmtId="165" fontId="1" fillId="0" borderId="13" xfId="0" applyNumberFormat="1" applyFont="1" applyFill="1" applyBorder="1" applyAlignment="1"/>
    <xf numFmtId="3" fontId="1" fillId="0" borderId="14" xfId="0" applyNumberFormat="1" applyFont="1" applyFill="1" applyBorder="1" applyAlignment="1"/>
    <xf numFmtId="0" fontId="3" fillId="0" borderId="10" xfId="2" applyFont="1" applyFill="1" applyBorder="1" applyAlignment="1" applyProtection="1">
      <alignment horizontal="center"/>
      <protection locked="0"/>
    </xf>
    <xf numFmtId="0" fontId="6" fillId="0" borderId="16" xfId="2" applyFont="1" applyFill="1" applyBorder="1" applyAlignment="1">
      <alignment horizontal="left"/>
    </xf>
    <xf numFmtId="0" fontId="18" fillId="0" borderId="10" xfId="2" applyFont="1" applyFill="1" applyBorder="1"/>
    <xf numFmtId="0" fontId="3" fillId="0" borderId="11" xfId="2" applyFont="1" applyFill="1" applyBorder="1" applyAlignment="1">
      <alignment horizontal="center"/>
    </xf>
    <xf numFmtId="49" fontId="3" fillId="0" borderId="20" xfId="2" applyNumberFormat="1" applyFont="1" applyFill="1" applyBorder="1" applyAlignment="1" applyProtection="1">
      <alignment horizontal="center"/>
      <protection locked="0"/>
    </xf>
    <xf numFmtId="0" fontId="3" fillId="0" borderId="21" xfId="2" applyNumberFormat="1" applyFont="1" applyFill="1" applyBorder="1" applyAlignment="1">
      <alignment horizontal="left"/>
    </xf>
    <xf numFmtId="0" fontId="3" fillId="0" borderId="19" xfId="2" applyFont="1" applyFill="1" applyBorder="1"/>
    <xf numFmtId="0" fontId="11" fillId="0" borderId="21" xfId="2" applyNumberFormat="1" applyFont="1" applyFill="1" applyBorder="1" applyAlignment="1">
      <alignment horizontal="left"/>
    </xf>
    <xf numFmtId="0" fontId="19" fillId="0" borderId="11" xfId="2" applyFont="1" applyFill="1" applyBorder="1" applyAlignment="1">
      <alignment horizontal="center"/>
    </xf>
    <xf numFmtId="49" fontId="19" fillId="0" borderId="20" xfId="2" applyNumberFormat="1" applyFont="1" applyFill="1" applyBorder="1" applyAlignment="1" applyProtection="1">
      <alignment horizontal="center"/>
      <protection locked="0"/>
    </xf>
    <xf numFmtId="0" fontId="19" fillId="0" borderId="19" xfId="2" applyFont="1" applyFill="1" applyBorder="1"/>
    <xf numFmtId="0" fontId="3" fillId="0" borderId="47" xfId="2" applyFont="1" applyFill="1" applyBorder="1" applyAlignment="1">
      <alignment horizontal="center"/>
    </xf>
    <xf numFmtId="49" fontId="3" fillId="0" borderId="43" xfId="2" applyNumberFormat="1" applyFont="1" applyFill="1" applyBorder="1" applyAlignment="1" applyProtection="1">
      <alignment horizontal="center"/>
      <protection locked="0"/>
    </xf>
    <xf numFmtId="0" fontId="3" fillId="0" borderId="54" xfId="2" applyFont="1" applyFill="1" applyBorder="1"/>
    <xf numFmtId="0" fontId="3" fillId="0" borderId="0" xfId="2" applyFont="1" applyFill="1" applyBorder="1" applyAlignment="1">
      <alignment horizontal="center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49" fontId="3" fillId="0" borderId="10" xfId="2" applyNumberFormat="1" applyFont="1" applyFill="1" applyBorder="1" applyAlignment="1" applyProtection="1">
      <alignment horizontal="center"/>
      <protection locked="0"/>
    </xf>
    <xf numFmtId="0" fontId="3" fillId="0" borderId="16" xfId="2" applyNumberFormat="1" applyFont="1" applyFill="1" applyBorder="1" applyAlignment="1">
      <alignment horizontal="left"/>
    </xf>
    <xf numFmtId="0" fontId="3" fillId="0" borderId="9" xfId="2" applyFont="1" applyFill="1" applyBorder="1"/>
    <xf numFmtId="0" fontId="7" fillId="0" borderId="3" xfId="2" applyFont="1" applyFill="1" applyBorder="1" applyAlignment="1">
      <alignment horizontal="center"/>
    </xf>
    <xf numFmtId="49" fontId="17" fillId="0" borderId="18" xfId="2" applyNumberFormat="1" applyFont="1" applyFill="1" applyBorder="1" applyAlignment="1" applyProtection="1">
      <alignment horizontal="center"/>
      <protection locked="0"/>
    </xf>
    <xf numFmtId="0" fontId="17" fillId="0" borderId="4" xfId="2" applyNumberFormat="1" applyFont="1" applyFill="1" applyBorder="1" applyAlignment="1">
      <alignment horizontal="left"/>
    </xf>
    <xf numFmtId="0" fontId="17" fillId="0" borderId="0" xfId="2" applyFont="1" applyFill="1" applyBorder="1" applyAlignment="1"/>
    <xf numFmtId="0" fontId="17" fillId="0" borderId="24" xfId="2" applyNumberFormat="1" applyFont="1" applyFill="1" applyBorder="1" applyAlignment="1">
      <alignment horizontal="left"/>
    </xf>
    <xf numFmtId="0" fontId="12" fillId="0" borderId="4" xfId="2" applyFont="1" applyFill="1" applyBorder="1" applyAlignment="1"/>
    <xf numFmtId="0" fontId="7" fillId="0" borderId="8" xfId="2" applyFont="1" applyFill="1" applyBorder="1" applyAlignment="1">
      <alignment horizontal="center"/>
    </xf>
    <xf numFmtId="49" fontId="17" fillId="0" borderId="10" xfId="2" applyNumberFormat="1" applyFont="1" applyFill="1" applyBorder="1" applyAlignment="1" applyProtection="1">
      <alignment horizontal="center"/>
      <protection locked="0"/>
    </xf>
    <xf numFmtId="0" fontId="17" fillId="0" borderId="16" xfId="2" applyNumberFormat="1" applyFont="1" applyFill="1" applyBorder="1" applyAlignment="1">
      <alignment horizontal="left"/>
    </xf>
    <xf numFmtId="0" fontId="12" fillId="0" borderId="10" xfId="2" applyFont="1" applyFill="1" applyBorder="1" applyAlignment="1"/>
    <xf numFmtId="0" fontId="17" fillId="0" borderId="4" xfId="2" applyFont="1" applyFill="1" applyBorder="1" applyAlignment="1"/>
    <xf numFmtId="0" fontId="17" fillId="0" borderId="16" xfId="2" applyFont="1" applyFill="1" applyBorder="1" applyAlignment="1"/>
    <xf numFmtId="0" fontId="12" fillId="0" borderId="9" xfId="2" applyFont="1" applyFill="1" applyBorder="1" applyAlignment="1"/>
    <xf numFmtId="49" fontId="7" fillId="0" borderId="15" xfId="2" applyNumberFormat="1" applyFont="1" applyFill="1" applyBorder="1" applyAlignment="1">
      <alignment horizontal="center"/>
    </xf>
    <xf numFmtId="49" fontId="17" fillId="0" borderId="23" xfId="2" applyNumberFormat="1" applyFont="1" applyFill="1" applyBorder="1" applyAlignment="1" applyProtection="1">
      <alignment horizontal="center"/>
      <protection locked="0"/>
    </xf>
    <xf numFmtId="49" fontId="17" fillId="0" borderId="14" xfId="2" applyNumberFormat="1" applyFont="1" applyFill="1" applyBorder="1" applyAlignment="1">
      <alignment horizontal="left"/>
    </xf>
    <xf numFmtId="0" fontId="17" fillId="0" borderId="14" xfId="2" applyFont="1" applyFill="1" applyBorder="1" applyAlignment="1"/>
    <xf numFmtId="49" fontId="7" fillId="0" borderId="3" xfId="2" applyNumberFormat="1" applyFont="1" applyFill="1" applyBorder="1" applyAlignment="1">
      <alignment horizontal="center"/>
    </xf>
    <xf numFmtId="0" fontId="17" fillId="0" borderId="4" xfId="2" applyFont="1" applyFill="1" applyBorder="1" applyAlignment="1">
      <alignment horizontal="left"/>
    </xf>
    <xf numFmtId="0" fontId="9" fillId="0" borderId="16" xfId="2" applyFont="1" applyFill="1" applyBorder="1" applyAlignment="1">
      <alignment horizontal="left"/>
    </xf>
    <xf numFmtId="49" fontId="9" fillId="0" borderId="14" xfId="2" applyNumberFormat="1" applyFont="1" applyFill="1" applyBorder="1" applyAlignment="1" applyProtection="1">
      <alignment horizontal="center"/>
      <protection locked="0"/>
    </xf>
    <xf numFmtId="0" fontId="9" fillId="0" borderId="4" xfId="2" applyFont="1" applyFill="1" applyBorder="1" applyAlignment="1">
      <alignment horizontal="left"/>
    </xf>
    <xf numFmtId="0" fontId="12" fillId="0" borderId="0" xfId="2" applyFont="1" applyFill="1" applyBorder="1" applyAlignment="1"/>
    <xf numFmtId="49" fontId="6" fillId="0" borderId="44" xfId="2" applyNumberFormat="1" applyFont="1" applyFill="1" applyBorder="1" applyAlignment="1">
      <alignment horizontal="center"/>
    </xf>
    <xf numFmtId="0" fontId="12" fillId="0" borderId="20" xfId="2" applyFont="1" applyFill="1" applyBorder="1" applyAlignment="1"/>
    <xf numFmtId="49" fontId="9" fillId="0" borderId="21" xfId="2" applyNumberFormat="1" applyFont="1" applyFill="1" applyBorder="1" applyAlignment="1" applyProtection="1">
      <alignment horizontal="center"/>
      <protection locked="0"/>
    </xf>
    <xf numFmtId="0" fontId="9" fillId="0" borderId="9" xfId="2" applyFont="1" applyFill="1" applyBorder="1" applyAlignment="1"/>
    <xf numFmtId="49" fontId="6" fillId="0" borderId="46" xfId="2" applyNumberFormat="1" applyFont="1" applyFill="1" applyBorder="1" applyAlignment="1">
      <alignment horizontal="center"/>
    </xf>
    <xf numFmtId="0" fontId="9" fillId="0" borderId="0" xfId="2" applyFont="1" applyFill="1" applyBorder="1" applyAlignment="1"/>
    <xf numFmtId="49" fontId="6" fillId="0" borderId="68" xfId="2" applyNumberFormat="1" applyFont="1" applyFill="1" applyBorder="1" applyAlignment="1">
      <alignment horizontal="center"/>
    </xf>
    <xf numFmtId="49" fontId="9" fillId="0" borderId="7" xfId="2" applyNumberFormat="1" applyFont="1" applyFill="1" applyBorder="1" applyAlignment="1" applyProtection="1">
      <alignment horizontal="center"/>
      <protection locked="0"/>
    </xf>
    <xf numFmtId="0" fontId="9" fillId="0" borderId="40" xfId="2" applyFont="1" applyFill="1" applyBorder="1" applyAlignment="1">
      <alignment horizontal="left"/>
    </xf>
    <xf numFmtId="0" fontId="9" fillId="0" borderId="54" xfId="2" applyFont="1" applyFill="1" applyBorder="1" applyAlignment="1"/>
    <xf numFmtId="0" fontId="9" fillId="0" borderId="9" xfId="2" applyFont="1" applyFill="1" applyBorder="1"/>
    <xf numFmtId="0" fontId="9" fillId="0" borderId="14" xfId="2" applyFont="1" applyFill="1" applyBorder="1" applyAlignment="1">
      <alignment horizontal="left" vertical="top" wrapText="1"/>
    </xf>
    <xf numFmtId="49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/>
    <xf numFmtId="0" fontId="0" fillId="2" borderId="36" xfId="0" applyFill="1" applyBorder="1"/>
    <xf numFmtId="3" fontId="9" fillId="2" borderId="21" xfId="0" applyNumberFormat="1" applyFont="1" applyFill="1" applyBorder="1"/>
    <xf numFmtId="3" fontId="9" fillId="2" borderId="16" xfId="0" applyNumberFormat="1" applyFont="1" applyFill="1" applyBorder="1"/>
    <xf numFmtId="165" fontId="9" fillId="2" borderId="16" xfId="0" applyNumberFormat="1" applyFont="1" applyFill="1" applyBorder="1"/>
    <xf numFmtId="0" fontId="17" fillId="2" borderId="21" xfId="0" applyFont="1" applyFill="1" applyBorder="1" applyAlignment="1"/>
    <xf numFmtId="49" fontId="2" fillId="2" borderId="25" xfId="2" applyNumberFormat="1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9" fillId="2" borderId="16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3" fontId="1" fillId="2" borderId="14" xfId="2" applyNumberFormat="1" applyFont="1" applyFill="1" applyBorder="1" applyAlignment="1">
      <alignment vertical="center"/>
    </xf>
    <xf numFmtId="0" fontId="4" fillId="0" borderId="25" xfId="2" applyFont="1" applyFill="1" applyBorder="1" applyAlignment="1"/>
    <xf numFmtId="0" fontId="4" fillId="0" borderId="36" xfId="2" applyFont="1" applyFill="1" applyBorder="1" applyAlignment="1"/>
    <xf numFmtId="3" fontId="1" fillId="0" borderId="16" xfId="0" applyNumberFormat="1" applyFont="1" applyFill="1" applyBorder="1" applyAlignment="1">
      <alignment horizontal="right"/>
    </xf>
    <xf numFmtId="165" fontId="1" fillId="0" borderId="16" xfId="0" applyNumberFormat="1" applyFont="1" applyFill="1" applyBorder="1" applyAlignment="1">
      <alignment horizontal="right"/>
    </xf>
    <xf numFmtId="14" fontId="17" fillId="0" borderId="7" xfId="0" applyNumberFormat="1" applyFont="1" applyFill="1" applyBorder="1" applyAlignment="1">
      <alignment horizontal="center"/>
    </xf>
    <xf numFmtId="0" fontId="7" fillId="0" borderId="16" xfId="2" applyFont="1" applyFill="1" applyBorder="1" applyAlignment="1">
      <alignment horizontal="center"/>
    </xf>
    <xf numFmtId="0" fontId="1" fillId="0" borderId="16" xfId="2" applyFont="1" applyFill="1" applyBorder="1" applyAlignment="1">
      <alignment horizontal="center"/>
    </xf>
    <xf numFmtId="49" fontId="2" fillId="2" borderId="25" xfId="2" applyNumberFormat="1" applyFont="1" applyFill="1" applyBorder="1" applyAlignment="1">
      <alignment horizontal="left"/>
    </xf>
    <xf numFmtId="4" fontId="2" fillId="0" borderId="27" xfId="0" applyNumberFormat="1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165" fontId="9" fillId="0" borderId="40" xfId="0" applyNumberFormat="1" applyFont="1" applyFill="1" applyBorder="1" applyAlignment="1">
      <alignment horizontal="right" vertical="center"/>
    </xf>
    <xf numFmtId="3" fontId="9" fillId="0" borderId="40" xfId="0" applyNumberFormat="1" applyFont="1" applyFill="1" applyBorder="1" applyAlignment="1">
      <alignment horizontal="right" vertical="center"/>
    </xf>
    <xf numFmtId="0" fontId="29" fillId="0" borderId="14" xfId="0" applyFont="1" applyBorder="1"/>
    <xf numFmtId="0" fontId="29" fillId="0" borderId="15" xfId="0" applyFont="1" applyBorder="1"/>
    <xf numFmtId="165" fontId="9" fillId="0" borderId="21" xfId="0" applyNumberFormat="1" applyFont="1" applyFill="1" applyBorder="1" applyAlignment="1">
      <alignment horizontal="right" vertical="center"/>
    </xf>
    <xf numFmtId="3" fontId="9" fillId="0" borderId="21" xfId="0" applyNumberFormat="1" applyFont="1" applyFill="1" applyBorder="1" applyAlignment="1">
      <alignment horizontal="right" vertical="center"/>
    </xf>
    <xf numFmtId="0" fontId="29" fillId="0" borderId="21" xfId="0" applyFont="1" applyBorder="1"/>
    <xf numFmtId="0" fontId="29" fillId="0" borderId="11" xfId="0" applyFont="1" applyBorder="1"/>
    <xf numFmtId="49" fontId="3" fillId="0" borderId="4" xfId="0" applyNumberFormat="1" applyFont="1" applyFill="1" applyBorder="1" applyAlignment="1">
      <alignment horizontal="center"/>
    </xf>
    <xf numFmtId="0" fontId="4" fillId="0" borderId="8" xfId="0" applyFont="1" applyFill="1" applyBorder="1"/>
    <xf numFmtId="49" fontId="3" fillId="0" borderId="7" xfId="0" applyNumberFormat="1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3" fillId="0" borderId="2" xfId="0" applyFont="1" applyFill="1" applyBorder="1"/>
    <xf numFmtId="0" fontId="6" fillId="0" borderId="28" xfId="0" applyFont="1" applyFill="1" applyBorder="1" applyAlignment="1">
      <alignment horizontal="center"/>
    </xf>
    <xf numFmtId="4" fontId="1" fillId="0" borderId="66" xfId="0" applyNumberFormat="1" applyFont="1" applyFill="1" applyBorder="1"/>
    <xf numFmtId="4" fontId="1" fillId="0" borderId="40" xfId="0" applyNumberFormat="1" applyFont="1" applyFill="1" applyBorder="1"/>
    <xf numFmtId="0" fontId="3" fillId="0" borderId="40" xfId="0" applyFont="1" applyFill="1" applyBorder="1"/>
    <xf numFmtId="0" fontId="3" fillId="0" borderId="47" xfId="0" applyFont="1" applyFill="1" applyBorder="1"/>
    <xf numFmtId="4" fontId="1" fillId="0" borderId="57" xfId="0" applyNumberFormat="1" applyFont="1" applyFill="1" applyBorder="1"/>
    <xf numFmtId="4" fontId="1" fillId="0" borderId="21" xfId="0" applyNumberFormat="1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19" fillId="0" borderId="21" xfId="0" applyFont="1" applyFill="1" applyBorder="1" applyAlignment="1">
      <alignment horizontal="left"/>
    </xf>
    <xf numFmtId="49" fontId="1" fillId="0" borderId="21" xfId="0" applyNumberFormat="1" applyFont="1" applyFill="1" applyBorder="1" applyAlignment="1">
      <alignment horizontal="left"/>
    </xf>
    <xf numFmtId="49" fontId="1" fillId="0" borderId="11" xfId="0" applyNumberFormat="1" applyFont="1" applyFill="1" applyBorder="1" applyAlignment="1">
      <alignment horizontal="center"/>
    </xf>
    <xf numFmtId="4" fontId="7" fillId="0" borderId="21" xfId="0" applyNumberFormat="1" applyFont="1" applyFill="1" applyBorder="1"/>
    <xf numFmtId="0" fontId="0" fillId="0" borderId="0" xfId="0" applyBorder="1"/>
    <xf numFmtId="0" fontId="7" fillId="0" borderId="21" xfId="0" applyFont="1" applyFill="1" applyBorder="1"/>
    <xf numFmtId="49" fontId="7" fillId="0" borderId="11" xfId="0" applyNumberFormat="1" applyFont="1" applyFill="1" applyBorder="1" applyAlignment="1">
      <alignment horizontal="center"/>
    </xf>
    <xf numFmtId="0" fontId="19" fillId="0" borderId="21" xfId="0" applyFont="1" applyFill="1" applyBorder="1"/>
    <xf numFmtId="49" fontId="19" fillId="0" borderId="21" xfId="0" applyNumberFormat="1" applyFont="1" applyFill="1" applyBorder="1" applyAlignment="1">
      <alignment horizontal="left"/>
    </xf>
    <xf numFmtId="49" fontId="19" fillId="0" borderId="11" xfId="0" applyNumberFormat="1" applyFont="1" applyFill="1" applyBorder="1" applyAlignment="1">
      <alignment horizontal="center"/>
    </xf>
    <xf numFmtId="0" fontId="19" fillId="0" borderId="21" xfId="0" applyFont="1" applyFill="1" applyBorder="1" applyAlignment="1"/>
    <xf numFmtId="0" fontId="6" fillId="0" borderId="21" xfId="0" applyFont="1" applyFill="1" applyBorder="1"/>
    <xf numFmtId="49" fontId="6" fillId="0" borderId="11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9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" fontId="1" fillId="0" borderId="65" xfId="0" applyNumberFormat="1" applyFont="1" applyFill="1" applyBorder="1"/>
    <xf numFmtId="4" fontId="1" fillId="0" borderId="39" xfId="0" applyNumberFormat="1" applyFont="1" applyFill="1" applyBorder="1"/>
    <xf numFmtId="49" fontId="1" fillId="0" borderId="47" xfId="0" applyNumberFormat="1" applyFont="1" applyFill="1" applyBorder="1" applyAlignment="1">
      <alignment horizontal="center"/>
    </xf>
    <xf numFmtId="0" fontId="19" fillId="0" borderId="22" xfId="0" applyFont="1" applyFill="1" applyBorder="1" applyAlignment="1">
      <alignment horizontal="left"/>
    </xf>
    <xf numFmtId="49" fontId="1" fillId="0" borderId="20" xfId="0" applyNumberFormat="1" applyFont="1" applyFill="1" applyBorder="1" applyAlignment="1">
      <alignment horizontal="left"/>
    </xf>
    <xf numFmtId="49" fontId="19" fillId="0" borderId="20" xfId="0" applyNumberFormat="1" applyFont="1" applyFill="1" applyBorder="1" applyAlignment="1">
      <alignment horizontal="center"/>
    </xf>
    <xf numFmtId="3" fontId="7" fillId="0" borderId="21" xfId="0" applyNumberFormat="1" applyFont="1" applyFill="1" applyBorder="1"/>
    <xf numFmtId="165" fontId="7" fillId="0" borderId="21" xfId="0" applyNumberFormat="1" applyFont="1" applyFill="1" applyBorder="1"/>
    <xf numFmtId="0" fontId="7" fillId="0" borderId="22" xfId="0" applyFont="1" applyFill="1" applyBorder="1"/>
    <xf numFmtId="0" fontId="12" fillId="0" borderId="21" xfId="0" applyFont="1" applyFill="1" applyBorder="1" applyAlignment="1">
      <alignment horizontal="left"/>
    </xf>
    <xf numFmtId="49" fontId="19" fillId="0" borderId="20" xfId="0" applyNumberFormat="1" applyFont="1" applyFill="1" applyBorder="1" applyAlignment="1">
      <alignment horizontal="left"/>
    </xf>
    <xf numFmtId="49" fontId="10" fillId="0" borderId="17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/>
    <xf numFmtId="3" fontId="19" fillId="0" borderId="21" xfId="0" applyNumberFormat="1" applyFont="1" applyFill="1" applyBorder="1"/>
    <xf numFmtId="165" fontId="19" fillId="0" borderId="21" xfId="0" applyNumberFormat="1" applyFont="1" applyFill="1" applyBorder="1"/>
    <xf numFmtId="165" fontId="12" fillId="0" borderId="21" xfId="0" applyNumberFormat="1" applyFont="1" applyFill="1" applyBorder="1"/>
    <xf numFmtId="0" fontId="1" fillId="2" borderId="22" xfId="0" applyFont="1" applyFill="1" applyBorder="1"/>
    <xf numFmtId="1" fontId="19" fillId="0" borderId="21" xfId="0" applyNumberFormat="1" applyFont="1" applyFill="1" applyBorder="1"/>
    <xf numFmtId="3" fontId="36" fillId="0" borderId="21" xfId="0" applyNumberFormat="1" applyFont="1" applyFill="1" applyBorder="1"/>
    <xf numFmtId="165" fontId="36" fillId="0" borderId="21" xfId="0" applyNumberFormat="1" applyFont="1" applyFill="1" applyBorder="1"/>
    <xf numFmtId="1" fontId="37" fillId="0" borderId="21" xfId="0" applyNumberFormat="1" applyFont="1" applyFill="1" applyBorder="1"/>
    <xf numFmtId="3" fontId="19" fillId="0" borderId="14" xfId="0" applyNumberFormat="1" applyFont="1" applyFill="1" applyBorder="1"/>
    <xf numFmtId="3" fontId="19" fillId="0" borderId="16" xfId="0" applyNumberFormat="1" applyFont="1" applyFill="1" applyBorder="1"/>
    <xf numFmtId="3" fontId="19" fillId="0" borderId="0" xfId="0" applyNumberFormat="1" applyFont="1" applyFill="1" applyBorder="1"/>
    <xf numFmtId="165" fontId="19" fillId="0" borderId="0" xfId="0" applyNumberFormat="1" applyFont="1" applyFill="1" applyBorder="1"/>
    <xf numFmtId="164" fontId="19" fillId="0" borderId="0" xfId="0" applyNumberFormat="1" applyFont="1" applyFill="1" applyBorder="1"/>
    <xf numFmtId="164" fontId="0" fillId="0" borderId="0" xfId="0" applyNumberFormat="1" applyFill="1" applyAlignment="1">
      <alignment horizontal="right"/>
    </xf>
    <xf numFmtId="165" fontId="19" fillId="0" borderId="40" xfId="0" applyNumberFormat="1" applyFont="1" applyFill="1" applyBorder="1"/>
    <xf numFmtId="1" fontId="19" fillId="0" borderId="40" xfId="0" applyNumberFormat="1" applyFont="1" applyFill="1" applyBorder="1"/>
    <xf numFmtId="3" fontId="37" fillId="0" borderId="21" xfId="0" applyNumberFormat="1" applyFont="1" applyFill="1" applyBorder="1"/>
    <xf numFmtId="165" fontId="37" fillId="0" borderId="21" xfId="0" applyNumberFormat="1" applyFont="1" applyFill="1" applyBorder="1"/>
    <xf numFmtId="3" fontId="7" fillId="0" borderId="16" xfId="0" applyNumberFormat="1" applyFont="1" applyFill="1" applyBorder="1"/>
    <xf numFmtId="165" fontId="7" fillId="0" borderId="16" xfId="0" applyNumberFormat="1" applyFont="1" applyFill="1" applyBorder="1"/>
    <xf numFmtId="0" fontId="19" fillId="0" borderId="0" xfId="0" applyFont="1" applyFill="1" applyBorder="1"/>
    <xf numFmtId="2" fontId="19" fillId="0" borderId="0" xfId="0" applyNumberFormat="1" applyFont="1" applyFill="1" applyBorder="1"/>
    <xf numFmtId="0" fontId="0" fillId="0" borderId="0" xfId="0" applyFill="1" applyBorder="1"/>
    <xf numFmtId="0" fontId="19" fillId="0" borderId="40" xfId="0" applyFont="1" applyFill="1" applyBorder="1"/>
    <xf numFmtId="49" fontId="1" fillId="2" borderId="6" xfId="0" applyNumberFormat="1" applyFont="1" applyFill="1" applyBorder="1" applyAlignment="1">
      <alignment horizontal="center"/>
    </xf>
    <xf numFmtId="49" fontId="19" fillId="2" borderId="7" xfId="0" applyNumberFormat="1" applyFont="1" applyFill="1" applyBorder="1" applyAlignment="1">
      <alignment horizontal="center"/>
    </xf>
    <xf numFmtId="0" fontId="19" fillId="0" borderId="7" xfId="0" applyFont="1" applyFill="1" applyBorder="1"/>
    <xf numFmtId="165" fontId="19" fillId="0" borderId="7" xfId="0" applyNumberFormat="1" applyFont="1" applyFill="1" applyBorder="1"/>
    <xf numFmtId="3" fontId="19" fillId="0" borderId="7" xfId="0" applyNumberFormat="1" applyFont="1" applyFill="1" applyBorder="1"/>
    <xf numFmtId="4" fontId="1" fillId="0" borderId="7" xfId="0" applyNumberFormat="1" applyFont="1" applyFill="1" applyBorder="1"/>
    <xf numFmtId="49" fontId="1" fillId="2" borderId="21" xfId="0" applyNumberFormat="1" applyFont="1" applyFill="1" applyBorder="1" applyAlignment="1">
      <alignment horizontal="center"/>
    </xf>
    <xf numFmtId="0" fontId="7" fillId="2" borderId="40" xfId="0" applyFont="1" applyFill="1" applyBorder="1"/>
    <xf numFmtId="0" fontId="9" fillId="0" borderId="17" xfId="0" applyFont="1" applyFill="1" applyBorder="1"/>
    <xf numFmtId="0" fontId="25" fillId="0" borderId="10" xfId="0" applyFont="1" applyFill="1" applyBorder="1"/>
    <xf numFmtId="0" fontId="0" fillId="0" borderId="10" xfId="0" applyFill="1" applyBorder="1"/>
    <xf numFmtId="0" fontId="0" fillId="0" borderId="42" xfId="0" applyFill="1" applyBorder="1"/>
    <xf numFmtId="3" fontId="4" fillId="0" borderId="27" xfId="0" applyNumberFormat="1" applyFont="1" applyFill="1" applyBorder="1" applyAlignment="1">
      <alignment vertical="center"/>
    </xf>
    <xf numFmtId="165" fontId="4" fillId="0" borderId="27" xfId="0" applyNumberFormat="1" applyFont="1" applyFill="1" applyBorder="1" applyAlignment="1">
      <alignment vertical="center"/>
    </xf>
    <xf numFmtId="4" fontId="2" fillId="2" borderId="36" xfId="0" applyNumberFormat="1" applyFont="1" applyFill="1" applyBorder="1" applyAlignment="1">
      <alignment vertical="center"/>
    </xf>
    <xf numFmtId="4" fontId="2" fillId="2" borderId="70" xfId="0" applyNumberFormat="1" applyFont="1" applyFill="1" applyBorder="1"/>
    <xf numFmtId="49" fontId="6" fillId="0" borderId="21" xfId="2" applyNumberFormat="1" applyFont="1" applyFill="1" applyBorder="1" applyAlignment="1">
      <alignment horizontal="center"/>
    </xf>
    <xf numFmtId="0" fontId="9" fillId="0" borderId="21" xfId="2" applyFont="1" applyFill="1" applyBorder="1" applyAlignment="1">
      <alignment horizontal="left" vertical="top" wrapText="1"/>
    </xf>
    <xf numFmtId="0" fontId="9" fillId="0" borderId="21" xfId="2" applyFont="1" applyFill="1" applyBorder="1"/>
    <xf numFmtId="3" fontId="1" fillId="0" borderId="21" xfId="0" applyNumberFormat="1" applyFont="1" applyFill="1" applyBorder="1"/>
    <xf numFmtId="49" fontId="6" fillId="0" borderId="14" xfId="2" applyNumberFormat="1" applyFont="1" applyFill="1" applyBorder="1" applyAlignment="1">
      <alignment horizontal="center"/>
    </xf>
    <xf numFmtId="0" fontId="9" fillId="0" borderId="14" xfId="2" applyFont="1" applyFill="1" applyBorder="1"/>
    <xf numFmtId="165" fontId="1" fillId="0" borderId="14" xfId="0" applyNumberFormat="1" applyFont="1" applyFill="1" applyBorder="1"/>
    <xf numFmtId="3" fontId="6" fillId="0" borderId="21" xfId="2" applyNumberFormat="1" applyFont="1" applyFill="1" applyBorder="1"/>
    <xf numFmtId="165" fontId="6" fillId="0" borderId="21" xfId="2" applyNumberFormat="1" applyFont="1" applyFill="1" applyBorder="1"/>
    <xf numFmtId="0" fontId="20" fillId="0" borderId="11" xfId="2" applyFont="1" applyFill="1" applyBorder="1" applyAlignment="1">
      <alignment horizontal="center"/>
    </xf>
    <xf numFmtId="0" fontId="20" fillId="0" borderId="8" xfId="2" applyFont="1" applyFill="1" applyBorder="1" applyAlignment="1">
      <alignment horizontal="center"/>
    </xf>
    <xf numFmtId="4" fontId="13" fillId="0" borderId="27" xfId="0" applyNumberFormat="1" applyFont="1" applyFill="1" applyBorder="1"/>
    <xf numFmtId="4" fontId="13" fillId="0" borderId="62" xfId="0" applyNumberFormat="1" applyFont="1" applyFill="1" applyBorder="1"/>
    <xf numFmtId="49" fontId="6" fillId="0" borderId="45" xfId="2" applyNumberFormat="1" applyFont="1" applyFill="1" applyBorder="1" applyAlignment="1">
      <alignment horizontal="center"/>
    </xf>
    <xf numFmtId="165" fontId="17" fillId="0" borderId="21" xfId="2" applyNumberFormat="1" applyFont="1" applyFill="1" applyBorder="1" applyAlignment="1"/>
    <xf numFmtId="3" fontId="7" fillId="0" borderId="16" xfId="2" applyNumberFormat="1" applyFont="1" applyFill="1" applyBorder="1"/>
    <xf numFmtId="165" fontId="7" fillId="0" borderId="16" xfId="2" applyNumberFormat="1" applyFont="1" applyFill="1" applyBorder="1"/>
    <xf numFmtId="4" fontId="7" fillId="0" borderId="51" xfId="0" applyNumberFormat="1" applyFont="1" applyFill="1" applyBorder="1"/>
    <xf numFmtId="49" fontId="1" fillId="0" borderId="20" xfId="2" applyNumberFormat="1" applyFont="1" applyFill="1" applyBorder="1" applyAlignment="1" applyProtection="1">
      <alignment horizontal="center"/>
      <protection locked="0"/>
    </xf>
    <xf numFmtId="0" fontId="1" fillId="0" borderId="21" xfId="2" applyNumberFormat="1" applyFont="1" applyFill="1" applyBorder="1" applyAlignment="1">
      <alignment horizontal="left"/>
    </xf>
    <xf numFmtId="0" fontId="1" fillId="0" borderId="19" xfId="2" applyFont="1" applyFill="1" applyBorder="1"/>
    <xf numFmtId="3" fontId="9" fillId="0" borderId="60" xfId="0" applyNumberFormat="1" applyFont="1" applyFill="1" applyBorder="1"/>
    <xf numFmtId="0" fontId="17" fillId="0" borderId="16" xfId="0" applyFont="1" applyFill="1" applyBorder="1" applyAlignment="1">
      <alignment horizontal="right"/>
    </xf>
    <xf numFmtId="165" fontId="17" fillId="0" borderId="16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14" fontId="17" fillId="2" borderId="7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165" fontId="24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5" fontId="38" fillId="0" borderId="0" xfId="0" applyNumberFormat="1" applyFont="1" applyFill="1" applyBorder="1" applyAlignment="1">
      <alignment horizontal="right"/>
    </xf>
    <xf numFmtId="165" fontId="0" fillId="0" borderId="0" xfId="0" applyNumberFormat="1" applyFill="1" applyBorder="1"/>
    <xf numFmtId="0" fontId="23" fillId="0" borderId="0" xfId="0" applyFont="1" applyFill="1" applyBorder="1"/>
    <xf numFmtId="0" fontId="0" fillId="0" borderId="0" xfId="0" applyFill="1" applyBorder="1" applyAlignment="1">
      <alignment horizontal="left"/>
    </xf>
    <xf numFmtId="3" fontId="9" fillId="0" borderId="16" xfId="0" applyNumberFormat="1" applyFont="1" applyFill="1" applyBorder="1" applyAlignment="1">
      <alignment horizontal="right" wrapText="1"/>
    </xf>
    <xf numFmtId="165" fontId="9" fillId="0" borderId="16" xfId="0" applyNumberFormat="1" applyFont="1" applyFill="1" applyBorder="1" applyAlignment="1">
      <alignment horizontal="right" wrapText="1"/>
    </xf>
    <xf numFmtId="3" fontId="29" fillId="0" borderId="16" xfId="0" applyNumberFormat="1" applyFont="1" applyFill="1" applyBorder="1" applyAlignment="1">
      <alignment horizontal="right"/>
    </xf>
    <xf numFmtId="4" fontId="9" fillId="0" borderId="16" xfId="2" applyNumberFormat="1" applyFont="1" applyFill="1" applyBorder="1" applyAlignment="1">
      <alignment horizontal="right"/>
    </xf>
    <xf numFmtId="4" fontId="9" fillId="0" borderId="42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3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/>
    </xf>
    <xf numFmtId="4" fontId="9" fillId="0" borderId="0" xfId="2" applyNumberFormat="1" applyFont="1" applyFill="1" applyBorder="1" applyAlignment="1">
      <alignment horizontal="right"/>
    </xf>
    <xf numFmtId="3" fontId="29" fillId="0" borderId="40" xfId="0" applyNumberFormat="1" applyFont="1" applyFill="1" applyBorder="1" applyAlignment="1">
      <alignment horizontal="right"/>
    </xf>
    <xf numFmtId="3" fontId="29" fillId="0" borderId="21" xfId="0" applyNumberFormat="1" applyFont="1" applyFill="1" applyBorder="1" applyAlignment="1">
      <alignment horizontal="left"/>
    </xf>
    <xf numFmtId="0" fontId="9" fillId="0" borderId="21" xfId="0" applyFont="1" applyFill="1" applyBorder="1" applyAlignment="1">
      <alignment horizontal="left" vertical="center" wrapText="1"/>
    </xf>
    <xf numFmtId="0" fontId="29" fillId="0" borderId="0" xfId="0" applyFont="1" applyFill="1" applyBorder="1"/>
    <xf numFmtId="0" fontId="9" fillId="0" borderId="0" xfId="0" applyFont="1" applyFill="1" applyBorder="1" applyAlignment="1">
      <alignment horizontal="justify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right" vertical="center" wrapText="1"/>
    </xf>
    <xf numFmtId="4" fontId="9" fillId="0" borderId="0" xfId="2" applyNumberFormat="1" applyFont="1" applyFill="1" applyBorder="1"/>
    <xf numFmtId="4" fontId="9" fillId="0" borderId="0" xfId="0" applyNumberFormat="1" applyFont="1" applyFill="1" applyBorder="1"/>
    <xf numFmtId="0" fontId="29" fillId="0" borderId="47" xfId="0" applyFont="1" applyFill="1" applyBorder="1"/>
    <xf numFmtId="0" fontId="29" fillId="0" borderId="40" xfId="0" applyFont="1" applyFill="1" applyBorder="1"/>
    <xf numFmtId="0" fontId="9" fillId="0" borderId="40" xfId="0" applyFont="1" applyFill="1" applyBorder="1" applyAlignment="1">
      <alignment horizontal="justify" vertical="center" wrapText="1"/>
    </xf>
    <xf numFmtId="3" fontId="9" fillId="0" borderId="40" xfId="0" applyNumberFormat="1" applyFont="1" applyFill="1" applyBorder="1" applyAlignment="1">
      <alignment horizontal="right" vertical="center" wrapText="1"/>
    </xf>
    <xf numFmtId="165" fontId="9" fillId="0" borderId="40" xfId="0" applyNumberFormat="1" applyFont="1" applyFill="1" applyBorder="1" applyAlignment="1">
      <alignment horizontal="right" vertical="center" wrapText="1"/>
    </xf>
    <xf numFmtId="4" fontId="9" fillId="0" borderId="40" xfId="2" applyNumberFormat="1" applyFont="1" applyFill="1" applyBorder="1"/>
    <xf numFmtId="4" fontId="9" fillId="0" borderId="66" xfId="0" applyNumberFormat="1" applyFont="1" applyFill="1" applyBorder="1"/>
    <xf numFmtId="49" fontId="3" fillId="0" borderId="17" xfId="2" applyNumberFormat="1" applyFont="1" applyFill="1" applyBorder="1" applyAlignment="1">
      <alignment horizontal="left"/>
    </xf>
    <xf numFmtId="0" fontId="3" fillId="2" borderId="22" xfId="2" applyFont="1" applyFill="1" applyBorder="1" applyAlignment="1">
      <alignment wrapText="1"/>
    </xf>
    <xf numFmtId="49" fontId="1" fillId="0" borderId="21" xfId="0" applyNumberFormat="1" applyFont="1" applyFill="1" applyBorder="1" applyAlignment="1">
      <alignment wrapText="1"/>
    </xf>
    <xf numFmtId="49" fontId="1" fillId="0" borderId="16" xfId="2" applyNumberFormat="1" applyFont="1" applyFill="1" applyBorder="1" applyAlignment="1">
      <alignment wrapText="1"/>
    </xf>
    <xf numFmtId="0" fontId="34" fillId="0" borderId="21" xfId="0" applyFont="1" applyFill="1" applyBorder="1" applyAlignment="1">
      <alignment wrapText="1"/>
    </xf>
    <xf numFmtId="0" fontId="12" fillId="2" borderId="22" xfId="0" applyFont="1" applyFill="1" applyBorder="1" applyAlignment="1">
      <alignment wrapText="1"/>
    </xf>
    <xf numFmtId="0" fontId="9" fillId="2" borderId="21" xfId="0" applyFont="1" applyFill="1" applyBorder="1" applyAlignment="1"/>
    <xf numFmtId="0" fontId="0" fillId="2" borderId="9" xfId="0" applyFill="1" applyBorder="1"/>
    <xf numFmtId="0" fontId="1" fillId="0" borderId="22" xfId="0" applyFont="1" applyFill="1" applyBorder="1"/>
    <xf numFmtId="1" fontId="1" fillId="0" borderId="21" xfId="0" applyNumberFormat="1" applyFont="1" applyFill="1" applyBorder="1"/>
    <xf numFmtId="0" fontId="1" fillId="0" borderId="39" xfId="0" applyFont="1" applyFill="1" applyBorder="1"/>
    <xf numFmtId="0" fontId="1" fillId="0" borderId="56" xfId="0" applyFont="1" applyFill="1" applyBorder="1"/>
    <xf numFmtId="3" fontId="1" fillId="0" borderId="7" xfId="0" applyNumberFormat="1" applyFont="1" applyFill="1" applyBorder="1"/>
    <xf numFmtId="165" fontId="1" fillId="0" borderId="7" xfId="0" applyNumberFormat="1" applyFont="1" applyFill="1" applyBorder="1"/>
    <xf numFmtId="1" fontId="1" fillId="0" borderId="40" xfId="0" applyNumberFormat="1" applyFont="1" applyFill="1" applyBorder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49" fontId="2" fillId="2" borderId="25" xfId="2" applyNumberFormat="1" applyFont="1" applyFill="1" applyBorder="1" applyAlignment="1">
      <alignment horizontal="left"/>
    </xf>
    <xf numFmtId="49" fontId="2" fillId="2" borderId="36" xfId="2" applyNumberFormat="1" applyFont="1" applyFill="1" applyBorder="1" applyAlignment="1">
      <alignment horizontal="left"/>
    </xf>
    <xf numFmtId="49" fontId="2" fillId="2" borderId="37" xfId="2" applyNumberFormat="1" applyFont="1" applyFill="1" applyBorder="1" applyAlignment="1">
      <alignment horizontal="left"/>
    </xf>
    <xf numFmtId="0" fontId="17" fillId="2" borderId="21" xfId="0" applyFont="1" applyFill="1" applyBorder="1" applyAlignment="1"/>
    <xf numFmtId="0" fontId="2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25" xfId="2" applyFont="1" applyFill="1" applyBorder="1" applyAlignment="1"/>
    <xf numFmtId="0" fontId="4" fillId="0" borderId="36" xfId="2" applyFont="1" applyFill="1" applyBorder="1" applyAlignment="1"/>
    <xf numFmtId="0" fontId="4" fillId="0" borderId="37" xfId="2" applyFont="1" applyFill="1" applyBorder="1" applyAlignment="1"/>
    <xf numFmtId="49" fontId="4" fillId="2" borderId="25" xfId="2" applyNumberFormat="1" applyFont="1" applyFill="1" applyBorder="1" applyAlignment="1">
      <alignment horizontal="left"/>
    </xf>
    <xf numFmtId="0" fontId="4" fillId="2" borderId="36" xfId="2" applyFont="1" applyFill="1" applyBorder="1" applyAlignment="1"/>
    <xf numFmtId="0" fontId="4" fillId="2" borderId="37" xfId="2" applyFont="1" applyFill="1" applyBorder="1" applyAlignment="1"/>
    <xf numFmtId="49" fontId="17" fillId="0" borderId="17" xfId="2" applyNumberFormat="1" applyFont="1" applyFill="1" applyBorder="1" applyAlignment="1" applyProtection="1">
      <alignment horizontal="left"/>
      <protection locked="0"/>
    </xf>
    <xf numFmtId="0" fontId="22" fillId="0" borderId="10" xfId="0" applyFont="1" applyFill="1" applyBorder="1" applyAlignment="1">
      <alignment horizontal="left"/>
    </xf>
    <xf numFmtId="4" fontId="7" fillId="0" borderId="21" xfId="0" applyNumberFormat="1" applyFont="1" applyFill="1" applyBorder="1" applyAlignment="1"/>
    <xf numFmtId="4" fontId="7" fillId="0" borderId="57" xfId="0" applyNumberFormat="1" applyFont="1" applyFill="1" applyBorder="1" applyAlignment="1"/>
    <xf numFmtId="49" fontId="17" fillId="0" borderId="22" xfId="2" applyNumberFormat="1" applyFont="1" applyFill="1" applyBorder="1" applyAlignment="1" applyProtection="1">
      <alignment horizontal="left"/>
      <protection locked="0"/>
    </xf>
    <xf numFmtId="0" fontId="22" fillId="0" borderId="20" xfId="0" applyFont="1" applyFill="1" applyBorder="1" applyAlignment="1">
      <alignment horizontal="left"/>
    </xf>
    <xf numFmtId="165" fontId="7" fillId="0" borderId="21" xfId="0" applyNumberFormat="1" applyFont="1" applyFill="1" applyBorder="1" applyAlignment="1"/>
    <xf numFmtId="3" fontId="17" fillId="0" borderId="21" xfId="0" applyNumberFormat="1" applyFont="1" applyFill="1" applyBorder="1" applyAlignment="1">
      <alignment horizontal="right"/>
    </xf>
    <xf numFmtId="3" fontId="7" fillId="0" borderId="21" xfId="0" applyNumberFormat="1" applyFont="1" applyFill="1" applyBorder="1" applyAlignment="1"/>
    <xf numFmtId="0" fontId="4" fillId="0" borderId="26" xfId="2" applyFont="1" applyFill="1" applyBorder="1" applyAlignment="1">
      <alignment vertical="center"/>
    </xf>
    <xf numFmtId="0" fontId="4" fillId="0" borderId="27" xfId="2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4" fontId="1" fillId="0" borderId="35" xfId="0" applyNumberFormat="1" applyFont="1" applyFill="1" applyBorder="1" applyAlignment="1">
      <alignment horizontal="right"/>
    </xf>
    <xf numFmtId="4" fontId="1" fillId="0" borderId="42" xfId="0" applyNumberFormat="1" applyFont="1" applyFill="1" applyBorder="1" applyAlignment="1">
      <alignment horizontal="right"/>
    </xf>
    <xf numFmtId="49" fontId="7" fillId="0" borderId="10" xfId="2" applyNumberFormat="1" applyFont="1" applyFill="1" applyBorder="1" applyAlignment="1">
      <alignment horizontal="left"/>
    </xf>
    <xf numFmtId="0" fontId="7" fillId="0" borderId="16" xfId="2" applyFont="1" applyFill="1" applyBorder="1" applyAlignment="1">
      <alignment horizontal="left"/>
    </xf>
    <xf numFmtId="3" fontId="1" fillId="0" borderId="14" xfId="0" applyNumberFormat="1" applyFont="1" applyFill="1" applyBorder="1" applyAlignment="1">
      <alignment horizontal="right"/>
    </xf>
    <xf numFmtId="3" fontId="1" fillId="0" borderId="16" xfId="0" applyNumberFormat="1" applyFont="1" applyFill="1" applyBorder="1" applyAlignment="1">
      <alignment horizontal="right"/>
    </xf>
    <xf numFmtId="165" fontId="1" fillId="0" borderId="14" xfId="0" applyNumberFormat="1" applyFont="1" applyFill="1" applyBorder="1" applyAlignment="1">
      <alignment horizontal="right"/>
    </xf>
    <xf numFmtId="165" fontId="1" fillId="0" borderId="16" xfId="0" applyNumberFormat="1" applyFont="1" applyFill="1" applyBorder="1" applyAlignment="1">
      <alignment horizontal="right"/>
    </xf>
    <xf numFmtId="4" fontId="1" fillId="0" borderId="14" xfId="2" applyNumberFormat="1" applyFont="1" applyFill="1" applyBorder="1" applyAlignment="1">
      <alignment horizontal="right"/>
    </xf>
    <xf numFmtId="4" fontId="1" fillId="0" borderId="16" xfId="2" applyNumberFormat="1" applyFont="1" applyFill="1" applyBorder="1" applyAlignment="1">
      <alignment horizontal="right"/>
    </xf>
    <xf numFmtId="3" fontId="1" fillId="2" borderId="14" xfId="2" applyNumberFormat="1" applyFont="1" applyFill="1" applyBorder="1" applyAlignment="1">
      <alignment horizontal="right"/>
    </xf>
    <xf numFmtId="3" fontId="1" fillId="2" borderId="16" xfId="2" applyNumberFormat="1" applyFont="1" applyFill="1" applyBorder="1" applyAlignment="1">
      <alignment horizontal="right"/>
    </xf>
    <xf numFmtId="49" fontId="3" fillId="2" borderId="14" xfId="2" applyNumberFormat="1" applyFont="1" applyFill="1" applyBorder="1" applyAlignment="1">
      <alignment horizontal="left"/>
    </xf>
    <xf numFmtId="49" fontId="3" fillId="2" borderId="16" xfId="2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right" wrapText="1"/>
    </xf>
    <xf numFmtId="2" fontId="1" fillId="2" borderId="16" xfId="0" applyNumberFormat="1" applyFont="1" applyFill="1" applyBorder="1" applyAlignment="1">
      <alignment horizontal="right" wrapText="1"/>
    </xf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165" fontId="1" fillId="2" borderId="13" xfId="2" applyNumberFormat="1" applyFont="1" applyFill="1" applyBorder="1" applyAlignment="1">
      <alignment horizontal="right"/>
    </xf>
    <xf numFmtId="165" fontId="1" fillId="2" borderId="9" xfId="2" applyNumberFormat="1" applyFont="1" applyFill="1" applyBorder="1" applyAlignment="1">
      <alignment horizontal="right"/>
    </xf>
    <xf numFmtId="0" fontId="4" fillId="2" borderId="26" xfId="2" applyFont="1" applyFill="1" applyBorder="1" applyAlignment="1">
      <alignment vertical="center"/>
    </xf>
    <xf numFmtId="0" fontId="4" fillId="2" borderId="27" xfId="2" applyFont="1" applyFill="1" applyBorder="1" applyAlignment="1">
      <alignment vertical="center"/>
    </xf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left"/>
    </xf>
    <xf numFmtId="49" fontId="3" fillId="2" borderId="8" xfId="2" applyNumberFormat="1" applyFont="1" applyFill="1" applyBorder="1" applyAlignment="1">
      <alignment horizontal="left"/>
    </xf>
    <xf numFmtId="0" fontId="4" fillId="2" borderId="25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13" fillId="0" borderId="0" xfId="0" applyFont="1" applyFill="1" applyBorder="1" applyAlignment="1"/>
    <xf numFmtId="49" fontId="6" fillId="0" borderId="22" xfId="2" applyNumberFormat="1" applyFont="1" applyFill="1" applyBorder="1" applyAlignment="1">
      <alignment horizontal="left"/>
    </xf>
    <xf numFmtId="49" fontId="6" fillId="0" borderId="20" xfId="2" applyNumberFormat="1" applyFont="1" applyFill="1" applyBorder="1" applyAlignment="1">
      <alignment horizontal="left"/>
    </xf>
    <xf numFmtId="0" fontId="4" fillId="0" borderId="25" xfId="2" applyFont="1" applyFill="1" applyBorder="1" applyAlignment="1">
      <alignment vertical="center"/>
    </xf>
    <xf numFmtId="0" fontId="4" fillId="0" borderId="36" xfId="2" applyFont="1" applyFill="1" applyBorder="1" applyAlignment="1">
      <alignment vertical="center"/>
    </xf>
    <xf numFmtId="0" fontId="4" fillId="0" borderId="37" xfId="2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7" fillId="2" borderId="19" xfId="0" applyFont="1" applyFill="1" applyBorder="1" applyAlignment="1"/>
    <xf numFmtId="0" fontId="7" fillId="2" borderId="20" xfId="0" applyFont="1" applyFill="1" applyBorder="1" applyAlignment="1"/>
    <xf numFmtId="49" fontId="1" fillId="0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16" xfId="0" applyNumberFormat="1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4" fontId="1" fillId="0" borderId="14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165" fontId="19" fillId="0" borderId="14" xfId="0" applyNumberFormat="1" applyFont="1" applyFill="1" applyBorder="1" applyAlignment="1">
      <alignment horizontal="right"/>
    </xf>
    <xf numFmtId="165" fontId="19" fillId="0" borderId="16" xfId="0" applyNumberFormat="1" applyFont="1" applyFill="1" applyBorder="1" applyAlignment="1">
      <alignment horizontal="right"/>
    </xf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3" fontId="19" fillId="0" borderId="14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0" fontId="4" fillId="0" borderId="0" xfId="1" applyFont="1" applyBorder="1" applyAlignment="1"/>
    <xf numFmtId="0" fontId="1" fillId="0" borderId="0" xfId="1" applyBorder="1" applyAlignment="1"/>
    <xf numFmtId="49" fontId="7" fillId="0" borderId="16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 xr:uid="{00000000-0005-0000-0000-000001000000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4421\Desktop\p&#345;&#237;loha%20&#269;.%202%20n&#225;vrhu%20usnesen&#237;___Pln&#283;n&#237;%20rozpo&#269;tu%20za%202.%20&#269;tvrtlet&#237;%202019%20&#8211;%20J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4328\AppData\Local\Microsoft\Windows\Temporary%20Internet%20Files\Content.Outlook\LTHD6EW0\Pln&#283;n&#237;%20rozpo&#269;tu%20M&#268;%20Praha%208%20za%201.%20pololet&#237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 refreshError="1">
        <row r="10">
          <cell r="J10" t="str">
            <v>JB ke dni 12.7.2019</v>
          </cell>
        </row>
        <row r="12">
          <cell r="F12" t="str">
            <v>k 30.6.2019</v>
          </cell>
          <cell r="G12">
            <v>43646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>
        <row r="12">
          <cell r="F12" t="str">
            <v>k 30.6.2019</v>
          </cell>
          <cell r="G12">
            <v>43646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5317-C3B4-446E-A5E8-F70EC1E6D878}">
  <sheetPr>
    <pageSetUpPr fitToPage="1"/>
  </sheetPr>
  <dimension ref="A1:K52"/>
  <sheetViews>
    <sheetView tabSelected="1" zoomScaleNormal="100" workbookViewId="0">
      <selection activeCell="G1" sqref="G1"/>
    </sheetView>
  </sheetViews>
  <sheetFormatPr defaultRowHeight="15" x14ac:dyDescent="0.25"/>
  <cols>
    <col min="1" max="2" width="11.28515625" style="48" customWidth="1"/>
    <col min="3" max="3" width="52.28515625" style="48" customWidth="1"/>
    <col min="4" max="4" width="37.7109375" style="48" customWidth="1"/>
    <col min="5" max="7" width="16.42578125" style="48" customWidth="1"/>
    <col min="8" max="9" width="10.7109375" style="48" customWidth="1"/>
    <col min="10" max="16384" width="9.140625" style="48"/>
  </cols>
  <sheetData>
    <row r="1" spans="1:10" x14ac:dyDescent="0.25">
      <c r="G1" s="48" t="s">
        <v>535</v>
      </c>
    </row>
    <row r="2" spans="1:10" x14ac:dyDescent="0.25">
      <c r="G2" s="48" t="s">
        <v>533</v>
      </c>
    </row>
    <row r="3" spans="1:10" x14ac:dyDescent="0.25">
      <c r="G3" s="1074" t="s">
        <v>534</v>
      </c>
      <c r="H3" s="1074"/>
    </row>
    <row r="5" spans="1:10" ht="20.25" x14ac:dyDescent="0.25">
      <c r="A5" s="1088" t="s">
        <v>486</v>
      </c>
      <c r="B5" s="1089"/>
      <c r="C5" s="1089"/>
      <c r="D5" s="1089"/>
      <c r="E5" s="1089"/>
      <c r="F5" s="1089"/>
      <c r="G5" s="1089"/>
      <c r="H5" s="1089"/>
      <c r="I5" s="1089"/>
    </row>
    <row r="7" spans="1:10" ht="15.75" x14ac:dyDescent="0.25">
      <c r="A7" s="1090" t="s">
        <v>328</v>
      </c>
      <c r="B7" s="1090"/>
      <c r="C7" s="1090"/>
      <c r="D7" s="1090"/>
      <c r="E7" s="1090"/>
      <c r="F7" s="1089"/>
      <c r="G7" s="1089"/>
      <c r="H7" s="1089"/>
      <c r="I7" s="1089"/>
    </row>
    <row r="8" spans="1:10" ht="15.75" x14ac:dyDescent="0.25">
      <c r="A8" s="1091" t="s">
        <v>269</v>
      </c>
      <c r="B8" s="1091"/>
      <c r="C8" s="1091"/>
      <c r="D8" s="1091"/>
      <c r="E8" s="1091"/>
      <c r="F8" s="1089"/>
      <c r="G8" s="1089"/>
      <c r="H8" s="1089"/>
      <c r="I8" s="1089"/>
    </row>
    <row r="9" spans="1:10" ht="15.75" x14ac:dyDescent="0.25">
      <c r="A9" s="1091" t="s">
        <v>237</v>
      </c>
      <c r="B9" s="1091"/>
      <c r="C9" s="1091"/>
      <c r="D9" s="1091"/>
      <c r="E9" s="1091"/>
      <c r="F9" s="1089"/>
      <c r="G9" s="1089"/>
      <c r="H9" s="1089"/>
      <c r="I9" s="1089"/>
    </row>
    <row r="10" spans="1:10" ht="15.75" x14ac:dyDescent="0.25">
      <c r="A10" s="1091" t="s">
        <v>236</v>
      </c>
      <c r="B10" s="1091"/>
      <c r="C10" s="1091"/>
      <c r="D10" s="1091"/>
      <c r="E10" s="1091"/>
      <c r="F10" s="1089"/>
      <c r="G10" s="1089"/>
      <c r="H10" s="1089"/>
      <c r="I10" s="1089"/>
    </row>
    <row r="11" spans="1:10" ht="18.75" thickBot="1" x14ac:dyDescent="0.3">
      <c r="A11" s="535" t="s">
        <v>0</v>
      </c>
      <c r="B11" s="536"/>
      <c r="C11" s="537"/>
      <c r="D11" s="534"/>
      <c r="I11" s="538" t="s">
        <v>518</v>
      </c>
    </row>
    <row r="12" spans="1:10" ht="15" customHeight="1" x14ac:dyDescent="0.25">
      <c r="A12" s="539" t="s">
        <v>1</v>
      </c>
      <c r="B12" s="170" t="s">
        <v>2</v>
      </c>
      <c r="C12" s="540" t="s">
        <v>3</v>
      </c>
      <c r="D12" s="541"/>
      <c r="E12" s="170" t="s">
        <v>4</v>
      </c>
      <c r="F12" s="170" t="s">
        <v>326</v>
      </c>
      <c r="G12" s="542" t="s">
        <v>320</v>
      </c>
      <c r="H12" s="170" t="s">
        <v>322</v>
      </c>
      <c r="I12" s="543" t="s">
        <v>322</v>
      </c>
      <c r="J12" s="544"/>
    </row>
    <row r="13" spans="1:10" x14ac:dyDescent="0.25">
      <c r="A13" s="545" t="s">
        <v>5</v>
      </c>
      <c r="B13" s="177" t="s">
        <v>6</v>
      </c>
      <c r="C13" s="546" t="s">
        <v>7</v>
      </c>
      <c r="D13" s="547" t="s">
        <v>8</v>
      </c>
      <c r="E13" s="177" t="s">
        <v>325</v>
      </c>
      <c r="F13" s="177" t="s">
        <v>327</v>
      </c>
      <c r="G13" s="548" t="s">
        <v>321</v>
      </c>
      <c r="H13" s="177" t="s">
        <v>323</v>
      </c>
      <c r="I13" s="549" t="s">
        <v>324</v>
      </c>
    </row>
    <row r="14" spans="1:10" ht="15.75" thickBot="1" x14ac:dyDescent="0.3">
      <c r="A14" s="545" t="s">
        <v>9</v>
      </c>
      <c r="B14" s="177" t="s">
        <v>10</v>
      </c>
      <c r="C14" s="546"/>
      <c r="D14" s="547"/>
      <c r="E14" s="177" t="s">
        <v>292</v>
      </c>
      <c r="F14" s="177" t="s">
        <v>443</v>
      </c>
      <c r="G14" s="550">
        <v>43646</v>
      </c>
      <c r="H14" s="551" t="s">
        <v>235</v>
      </c>
      <c r="I14" s="549" t="s">
        <v>235</v>
      </c>
    </row>
    <row r="15" spans="1:10" ht="15.75" x14ac:dyDescent="0.25">
      <c r="A15" s="552" t="s">
        <v>11</v>
      </c>
      <c r="B15" s="553"/>
      <c r="C15" s="554"/>
      <c r="D15" s="555"/>
      <c r="E15" s="556"/>
      <c r="F15" s="557"/>
      <c r="G15" s="558"/>
      <c r="H15" s="189"/>
      <c r="I15" s="559"/>
    </row>
    <row r="16" spans="1:10" x14ac:dyDescent="0.25">
      <c r="A16" s="560" t="s">
        <v>488</v>
      </c>
      <c r="B16" s="561" t="s">
        <v>479</v>
      </c>
      <c r="C16" s="898"/>
      <c r="D16" s="561"/>
      <c r="E16" s="563">
        <f>SUM(E18:E18)</f>
        <v>200</v>
      </c>
      <c r="F16" s="564">
        <f t="shared" ref="F16:G16" si="0">SUM(F18:F18)</f>
        <v>200</v>
      </c>
      <c r="G16" s="563">
        <f t="shared" si="0"/>
        <v>0</v>
      </c>
      <c r="H16" s="565">
        <f>G16/E16*100</f>
        <v>0</v>
      </c>
      <c r="I16" s="566">
        <f>G16/F16*100</f>
        <v>0</v>
      </c>
    </row>
    <row r="17" spans="1:11" x14ac:dyDescent="0.25">
      <c r="A17" s="567"/>
      <c r="B17" s="561"/>
      <c r="C17" s="71" t="s">
        <v>243</v>
      </c>
      <c r="D17" s="561"/>
      <c r="E17" s="568"/>
      <c r="F17" s="137"/>
      <c r="G17" s="569"/>
      <c r="H17" s="565"/>
      <c r="I17" s="566"/>
    </row>
    <row r="18" spans="1:11" ht="15.75" x14ac:dyDescent="0.25">
      <c r="A18" s="570"/>
      <c r="B18" s="571"/>
      <c r="C18" s="572" t="s">
        <v>251</v>
      </c>
      <c r="D18" s="572" t="s">
        <v>12</v>
      </c>
      <c r="E18" s="573">
        <v>200</v>
      </c>
      <c r="F18" s="574">
        <v>200</v>
      </c>
      <c r="G18" s="575">
        <v>0</v>
      </c>
      <c r="H18" s="576">
        <f t="shared" ref="H18:H27" si="1">G18/E18*100</f>
        <v>0</v>
      </c>
      <c r="I18" s="577">
        <f t="shared" ref="I18:I28" si="2">G18/F18*100</f>
        <v>0</v>
      </c>
    </row>
    <row r="19" spans="1:11" ht="15.75" x14ac:dyDescent="0.25">
      <c r="A19" s="570"/>
      <c r="B19" s="571"/>
      <c r="C19" s="572"/>
      <c r="D19" s="578"/>
      <c r="E19" s="54"/>
      <c r="F19" s="137"/>
      <c r="G19" s="579"/>
      <c r="H19" s="565"/>
      <c r="I19" s="566"/>
    </row>
    <row r="20" spans="1:11" x14ac:dyDescent="0.25">
      <c r="A20" s="580" t="s">
        <v>13</v>
      </c>
      <c r="B20" s="1082" t="s">
        <v>232</v>
      </c>
      <c r="C20" s="1082"/>
      <c r="D20" s="1083"/>
      <c r="E20" s="581">
        <f>SUM(E21:E23)</f>
        <v>600</v>
      </c>
      <c r="F20" s="581">
        <f t="shared" ref="F20:G20" si="3">SUM(F21:F23)</f>
        <v>600</v>
      </c>
      <c r="G20" s="581">
        <f t="shared" si="3"/>
        <v>237</v>
      </c>
      <c r="H20" s="565">
        <f t="shared" si="1"/>
        <v>39.5</v>
      </c>
      <c r="I20" s="566">
        <f t="shared" si="2"/>
        <v>39.5</v>
      </c>
      <c r="K20" s="164"/>
    </row>
    <row r="21" spans="1:11" x14ac:dyDescent="0.25">
      <c r="A21" s="582"/>
      <c r="B21" s="583"/>
      <c r="C21" s="572" t="s">
        <v>14</v>
      </c>
      <c r="D21" s="572" t="s">
        <v>12</v>
      </c>
      <c r="E21" s="573">
        <v>100</v>
      </c>
      <c r="F21" s="574">
        <v>30</v>
      </c>
      <c r="G21" s="575">
        <v>0</v>
      </c>
      <c r="H21" s="576">
        <f t="shared" si="1"/>
        <v>0</v>
      </c>
      <c r="I21" s="577">
        <f t="shared" si="2"/>
        <v>0</v>
      </c>
      <c r="K21" s="164"/>
    </row>
    <row r="22" spans="1:11" x14ac:dyDescent="0.25">
      <c r="A22" s="584"/>
      <c r="B22" s="583"/>
      <c r="C22" s="572" t="s">
        <v>15</v>
      </c>
      <c r="D22" s="572" t="s">
        <v>12</v>
      </c>
      <c r="E22" s="573">
        <v>500</v>
      </c>
      <c r="F22" s="574">
        <v>500</v>
      </c>
      <c r="G22" s="575">
        <v>167</v>
      </c>
      <c r="H22" s="576">
        <f t="shared" si="1"/>
        <v>33.4</v>
      </c>
      <c r="I22" s="577">
        <f t="shared" si="2"/>
        <v>33.4</v>
      </c>
      <c r="K22" s="164"/>
    </row>
    <row r="23" spans="1:11" x14ac:dyDescent="0.25">
      <c r="A23" s="585"/>
      <c r="B23" s="586"/>
      <c r="C23" s="572" t="s">
        <v>451</v>
      </c>
      <c r="D23" s="572" t="s">
        <v>452</v>
      </c>
      <c r="E23" s="573">
        <v>0</v>
      </c>
      <c r="F23" s="574">
        <v>70</v>
      </c>
      <c r="G23" s="575">
        <v>70</v>
      </c>
      <c r="H23" s="576">
        <v>0</v>
      </c>
      <c r="I23" s="577">
        <f t="shared" si="2"/>
        <v>100</v>
      </c>
      <c r="K23" s="164"/>
    </row>
    <row r="24" spans="1:11" x14ac:dyDescent="0.25">
      <c r="A24" s="585"/>
      <c r="B24" s="586"/>
      <c r="C24" s="587"/>
      <c r="D24" s="572"/>
      <c r="E24" s="573"/>
      <c r="F24" s="574"/>
      <c r="G24" s="575"/>
      <c r="H24" s="565"/>
      <c r="I24" s="566"/>
      <c r="K24" s="164"/>
    </row>
    <row r="25" spans="1:11" x14ac:dyDescent="0.25">
      <c r="A25" s="580" t="s">
        <v>13</v>
      </c>
      <c r="B25" s="1082" t="s">
        <v>232</v>
      </c>
      <c r="C25" s="1082"/>
      <c r="D25" s="1083"/>
      <c r="E25" s="563">
        <f>SUM(E27:E27)</f>
        <v>772</v>
      </c>
      <c r="F25" s="564">
        <f t="shared" ref="F25:G25" si="4">SUM(F27:F27)</f>
        <v>814.3</v>
      </c>
      <c r="G25" s="563">
        <f t="shared" si="4"/>
        <v>309</v>
      </c>
      <c r="H25" s="565">
        <f t="shared" si="1"/>
        <v>40.025906735751292</v>
      </c>
      <c r="I25" s="566">
        <f t="shared" si="2"/>
        <v>37.946702689426502</v>
      </c>
      <c r="K25" s="164"/>
    </row>
    <row r="26" spans="1:11" x14ac:dyDescent="0.25">
      <c r="A26" s="584"/>
      <c r="B26" s="588"/>
      <c r="C26" s="588" t="s">
        <v>312</v>
      </c>
      <c r="D26" s="589"/>
      <c r="E26" s="573"/>
      <c r="F26" s="574"/>
      <c r="G26" s="575"/>
      <c r="H26" s="565"/>
      <c r="I26" s="566"/>
      <c r="J26" s="590"/>
      <c r="K26" s="164"/>
    </row>
    <row r="27" spans="1:11" ht="15.75" thickBot="1" x14ac:dyDescent="0.3">
      <c r="A27" s="584"/>
      <c r="B27" s="583"/>
      <c r="C27" s="572" t="s">
        <v>288</v>
      </c>
      <c r="D27" s="572" t="s">
        <v>12</v>
      </c>
      <c r="E27" s="573">
        <v>772</v>
      </c>
      <c r="F27" s="574">
        <v>814.3</v>
      </c>
      <c r="G27" s="575">
        <v>309</v>
      </c>
      <c r="H27" s="591">
        <f t="shared" si="1"/>
        <v>40.025906735751292</v>
      </c>
      <c r="I27" s="592">
        <f t="shared" si="2"/>
        <v>37.946702689426502</v>
      </c>
      <c r="K27" s="164"/>
    </row>
    <row r="28" spans="1:11" ht="16.5" thickBot="1" x14ac:dyDescent="0.3">
      <c r="A28" s="1084" t="s">
        <v>16</v>
      </c>
      <c r="B28" s="1085"/>
      <c r="C28" s="1086"/>
      <c r="D28" s="593"/>
      <c r="E28" s="594">
        <f>E20+E16+E25</f>
        <v>1572</v>
      </c>
      <c r="F28" s="595">
        <f>F20+F16+F25</f>
        <v>1614.3</v>
      </c>
      <c r="G28" s="594">
        <f>G20+G16+G25</f>
        <v>546</v>
      </c>
      <c r="H28" s="596">
        <f>G28/E28*100</f>
        <v>34.732824427480921</v>
      </c>
      <c r="I28" s="597">
        <f t="shared" si="2"/>
        <v>33.822709533543957</v>
      </c>
    </row>
    <row r="29" spans="1:11" ht="15.75" thickBot="1" x14ac:dyDescent="0.3">
      <c r="I29" s="203"/>
    </row>
    <row r="30" spans="1:11" x14ac:dyDescent="0.25">
      <c r="A30" s="539" t="s">
        <v>1</v>
      </c>
      <c r="B30" s="170" t="s">
        <v>2</v>
      </c>
      <c r="C30" s="540" t="s">
        <v>3</v>
      </c>
      <c r="D30" s="541"/>
      <c r="E30" s="170" t="s">
        <v>4</v>
      </c>
      <c r="F30" s="170" t="s">
        <v>326</v>
      </c>
      <c r="G30" s="542" t="s">
        <v>320</v>
      </c>
      <c r="H30" s="170" t="s">
        <v>322</v>
      </c>
      <c r="I30" s="543" t="s">
        <v>322</v>
      </c>
    </row>
    <row r="31" spans="1:11" x14ac:dyDescent="0.25">
      <c r="A31" s="545" t="s">
        <v>5</v>
      </c>
      <c r="B31" s="177" t="s">
        <v>6</v>
      </c>
      <c r="C31" s="546" t="s">
        <v>7</v>
      </c>
      <c r="D31" s="547" t="s">
        <v>8</v>
      </c>
      <c r="E31" s="177" t="s">
        <v>325</v>
      </c>
      <c r="F31" s="177" t="s">
        <v>327</v>
      </c>
      <c r="G31" s="548" t="s">
        <v>321</v>
      </c>
      <c r="H31" s="177" t="s">
        <v>323</v>
      </c>
      <c r="I31" s="549" t="s">
        <v>324</v>
      </c>
    </row>
    <row r="32" spans="1:11" ht="15.75" thickBot="1" x14ac:dyDescent="0.3">
      <c r="A32" s="545" t="s">
        <v>9</v>
      </c>
      <c r="B32" s="177" t="s">
        <v>10</v>
      </c>
      <c r="C32" s="546"/>
      <c r="D32" s="547"/>
      <c r="E32" s="177" t="s">
        <v>292</v>
      </c>
      <c r="F32" s="177" t="str">
        <f>F14</f>
        <v>k 30.6.2019</v>
      </c>
      <c r="G32" s="550">
        <f>G14</f>
        <v>43646</v>
      </c>
      <c r="H32" s="551" t="s">
        <v>235</v>
      </c>
      <c r="I32" s="549" t="s">
        <v>235</v>
      </c>
    </row>
    <row r="33" spans="1:9" ht="15.75" x14ac:dyDescent="0.25">
      <c r="A33" s="552" t="s">
        <v>338</v>
      </c>
      <c r="B33" s="598"/>
      <c r="C33" s="599"/>
      <c r="D33" s="600"/>
      <c r="E33" s="601"/>
      <c r="F33" s="602"/>
      <c r="G33" s="603"/>
      <c r="H33" s="604"/>
      <c r="I33" s="605"/>
    </row>
    <row r="34" spans="1:9" x14ac:dyDescent="0.25">
      <c r="A34" s="560" t="s">
        <v>491</v>
      </c>
      <c r="B34" s="561" t="s">
        <v>479</v>
      </c>
      <c r="C34" s="898"/>
      <c r="D34" s="606"/>
      <c r="E34" s="607"/>
      <c r="F34" s="608"/>
      <c r="G34" s="607"/>
      <c r="H34" s="609"/>
      <c r="I34" s="610"/>
    </row>
    <row r="35" spans="1:9" x14ac:dyDescent="0.25">
      <c r="A35" s="611"/>
      <c r="B35" s="612"/>
      <c r="C35" s="612" t="s">
        <v>243</v>
      </c>
      <c r="D35" s="612"/>
      <c r="E35" s="613">
        <f>SUM(E36:E41)</f>
        <v>180</v>
      </c>
      <c r="F35" s="614">
        <f t="shared" ref="F35:G35" si="5">SUM(F36:F41)</f>
        <v>180</v>
      </c>
      <c r="G35" s="613">
        <f t="shared" si="5"/>
        <v>0</v>
      </c>
      <c r="H35" s="615">
        <f>G35/E35*100</f>
        <v>0</v>
      </c>
      <c r="I35" s="616">
        <f>G35/F35*100</f>
        <v>0</v>
      </c>
    </row>
    <row r="36" spans="1:9" x14ac:dyDescent="0.25">
      <c r="A36" s="617"/>
      <c r="B36" s="618"/>
      <c r="C36" s="619" t="s">
        <v>339</v>
      </c>
      <c r="D36" s="618" t="s">
        <v>428</v>
      </c>
      <c r="E36" s="620">
        <v>30</v>
      </c>
      <c r="F36" s="621">
        <v>30</v>
      </c>
      <c r="G36" s="622">
        <v>0</v>
      </c>
      <c r="H36" s="623">
        <f t="shared" ref="H36:H49" si="6">G36/E36*100</f>
        <v>0</v>
      </c>
      <c r="I36" s="624">
        <f t="shared" ref="I36:I49" si="7">G36/F36*100</f>
        <v>0</v>
      </c>
    </row>
    <row r="37" spans="1:9" x14ac:dyDescent="0.25">
      <c r="A37" s="617"/>
      <c r="B37" s="618"/>
      <c r="C37" s="619" t="s">
        <v>340</v>
      </c>
      <c r="D37" s="618" t="s">
        <v>428</v>
      </c>
      <c r="E37" s="620">
        <v>30</v>
      </c>
      <c r="F37" s="621">
        <v>30</v>
      </c>
      <c r="G37" s="622">
        <v>0</v>
      </c>
      <c r="H37" s="623">
        <f t="shared" si="6"/>
        <v>0</v>
      </c>
      <c r="I37" s="624">
        <f t="shared" si="7"/>
        <v>0</v>
      </c>
    </row>
    <row r="38" spans="1:9" x14ac:dyDescent="0.25">
      <c r="A38" s="617"/>
      <c r="B38" s="618"/>
      <c r="C38" s="619" t="s">
        <v>341</v>
      </c>
      <c r="D38" s="618" t="s">
        <v>428</v>
      </c>
      <c r="E38" s="620">
        <v>30</v>
      </c>
      <c r="F38" s="621">
        <v>30</v>
      </c>
      <c r="G38" s="622">
        <v>0</v>
      </c>
      <c r="H38" s="623">
        <f t="shared" si="6"/>
        <v>0</v>
      </c>
      <c r="I38" s="624">
        <f t="shared" si="7"/>
        <v>0</v>
      </c>
    </row>
    <row r="39" spans="1:9" x14ac:dyDescent="0.25">
      <c r="A39" s="617"/>
      <c r="B39" s="618"/>
      <c r="C39" s="619" t="s">
        <v>342</v>
      </c>
      <c r="D39" s="618" t="s">
        <v>428</v>
      </c>
      <c r="E39" s="620">
        <v>30</v>
      </c>
      <c r="F39" s="621">
        <v>30</v>
      </c>
      <c r="G39" s="622">
        <v>0</v>
      </c>
      <c r="H39" s="623">
        <f t="shared" si="6"/>
        <v>0</v>
      </c>
      <c r="I39" s="624">
        <f t="shared" si="7"/>
        <v>0</v>
      </c>
    </row>
    <row r="40" spans="1:9" x14ac:dyDescent="0.25">
      <c r="A40" s="617"/>
      <c r="B40" s="618"/>
      <c r="C40" s="619" t="s">
        <v>343</v>
      </c>
      <c r="D40" s="618" t="s">
        <v>428</v>
      </c>
      <c r="E40" s="620">
        <v>30</v>
      </c>
      <c r="F40" s="621">
        <v>30</v>
      </c>
      <c r="G40" s="622">
        <v>0</v>
      </c>
      <c r="H40" s="623">
        <f t="shared" si="6"/>
        <v>0</v>
      </c>
      <c r="I40" s="624">
        <f t="shared" si="7"/>
        <v>0</v>
      </c>
    </row>
    <row r="41" spans="1:9" x14ac:dyDescent="0.25">
      <c r="A41" s="617"/>
      <c r="B41" s="618"/>
      <c r="C41" s="619" t="s">
        <v>344</v>
      </c>
      <c r="D41" s="618" t="s">
        <v>428</v>
      </c>
      <c r="E41" s="620">
        <v>30</v>
      </c>
      <c r="F41" s="621">
        <v>30</v>
      </c>
      <c r="G41" s="622">
        <v>0</v>
      </c>
      <c r="H41" s="623">
        <f t="shared" si="6"/>
        <v>0</v>
      </c>
      <c r="I41" s="624">
        <f t="shared" si="7"/>
        <v>0</v>
      </c>
    </row>
    <row r="42" spans="1:9" x14ac:dyDescent="0.25">
      <c r="A42" s="617"/>
      <c r="B42" s="618"/>
      <c r="C42" s="619"/>
      <c r="D42" s="618"/>
      <c r="E42" s="620"/>
      <c r="F42" s="621"/>
      <c r="G42" s="622"/>
      <c r="H42" s="623"/>
      <c r="I42" s="624"/>
    </row>
    <row r="43" spans="1:9" x14ac:dyDescent="0.25">
      <c r="A43" s="611" t="s">
        <v>311</v>
      </c>
      <c r="B43" s="1087" t="s">
        <v>217</v>
      </c>
      <c r="C43" s="1087"/>
      <c r="D43" s="618"/>
      <c r="E43" s="622"/>
      <c r="F43" s="625"/>
      <c r="G43" s="622"/>
      <c r="H43" s="615"/>
      <c r="I43" s="616"/>
    </row>
    <row r="44" spans="1:9" x14ac:dyDescent="0.25">
      <c r="A44" s="617"/>
      <c r="B44" s="896"/>
      <c r="C44" s="896" t="s">
        <v>312</v>
      </c>
      <c r="D44" s="618"/>
      <c r="E44" s="627">
        <f>SUM(E45)</f>
        <v>2026</v>
      </c>
      <c r="F44" s="628">
        <f t="shared" ref="F44:G44" si="8">SUM(F45)</f>
        <v>0</v>
      </c>
      <c r="G44" s="627">
        <f t="shared" si="8"/>
        <v>0</v>
      </c>
      <c r="H44" s="615">
        <f t="shared" si="6"/>
        <v>0</v>
      </c>
      <c r="I44" s="616">
        <v>0</v>
      </c>
    </row>
    <row r="45" spans="1:9" x14ac:dyDescent="0.25">
      <c r="A45" s="617"/>
      <c r="B45" s="618"/>
      <c r="C45" s="619" t="s">
        <v>345</v>
      </c>
      <c r="D45" s="618" t="s">
        <v>12</v>
      </c>
      <c r="E45" s="620">
        <v>2026</v>
      </c>
      <c r="F45" s="621">
        <v>0</v>
      </c>
      <c r="G45" s="622">
        <v>0</v>
      </c>
      <c r="H45" s="623">
        <f t="shared" si="6"/>
        <v>0</v>
      </c>
      <c r="I45" s="624">
        <v>0</v>
      </c>
    </row>
    <row r="46" spans="1:9" x14ac:dyDescent="0.25">
      <c r="A46" s="617"/>
      <c r="B46" s="618"/>
      <c r="C46" s="619"/>
      <c r="D46" s="618"/>
      <c r="E46" s="620"/>
      <c r="F46" s="621"/>
      <c r="G46" s="622"/>
      <c r="H46" s="623"/>
      <c r="I46" s="624"/>
    </row>
    <row r="47" spans="1:9" x14ac:dyDescent="0.25">
      <c r="A47" s="611" t="s">
        <v>13</v>
      </c>
      <c r="B47" s="1087" t="s">
        <v>232</v>
      </c>
      <c r="C47" s="1087"/>
      <c r="D47" s="618"/>
      <c r="E47" s="627">
        <f>SUM(E48)</f>
        <v>0</v>
      </c>
      <c r="F47" s="628">
        <f t="shared" ref="F47:G47" si="9">SUM(F48)</f>
        <v>2026</v>
      </c>
      <c r="G47" s="627">
        <f t="shared" si="9"/>
        <v>47</v>
      </c>
      <c r="H47" s="615">
        <v>0</v>
      </c>
      <c r="I47" s="616">
        <f t="shared" si="7"/>
        <v>2.319842053307009</v>
      </c>
    </row>
    <row r="48" spans="1:9" ht="15.75" thickBot="1" x14ac:dyDescent="0.3">
      <c r="A48" s="617"/>
      <c r="B48" s="896"/>
      <c r="C48" s="619" t="s">
        <v>345</v>
      </c>
      <c r="D48" s="618" t="s">
        <v>12</v>
      </c>
      <c r="E48" s="620">
        <v>0</v>
      </c>
      <c r="F48" s="621">
        <v>2026</v>
      </c>
      <c r="G48" s="622">
        <v>47</v>
      </c>
      <c r="H48" s="623">
        <v>0</v>
      </c>
      <c r="I48" s="624">
        <f t="shared" si="7"/>
        <v>2.319842053307009</v>
      </c>
    </row>
    <row r="49" spans="1:9" ht="16.5" thickBot="1" x14ac:dyDescent="0.3">
      <c r="A49" s="897" t="s">
        <v>416</v>
      </c>
      <c r="B49" s="629"/>
      <c r="C49" s="892"/>
      <c r="D49" s="593"/>
      <c r="E49" s="594">
        <f>E35+E44+E47</f>
        <v>2206</v>
      </c>
      <c r="F49" s="594">
        <f>F35+F44+F47</f>
        <v>2206</v>
      </c>
      <c r="G49" s="594">
        <f>G35+G44+G47</f>
        <v>47</v>
      </c>
      <c r="H49" s="596">
        <f t="shared" si="6"/>
        <v>2.1305530371713512</v>
      </c>
      <c r="I49" s="597">
        <f t="shared" si="7"/>
        <v>2.1305530371713512</v>
      </c>
    </row>
    <row r="50" spans="1:9" ht="16.5" thickBot="1" x14ac:dyDescent="0.3">
      <c r="A50" s="890"/>
      <c r="B50" s="891"/>
      <c r="C50" s="203"/>
      <c r="F50" s="163"/>
    </row>
    <row r="51" spans="1:9" ht="16.5" thickBot="1" x14ac:dyDescent="0.3">
      <c r="A51" s="909" t="s">
        <v>417</v>
      </c>
      <c r="B51" s="892"/>
      <c r="C51" s="593"/>
      <c r="D51" s="593"/>
      <c r="E51" s="594">
        <f>E28+E49</f>
        <v>3778</v>
      </c>
      <c r="F51" s="595">
        <f>F28+F49</f>
        <v>3820.3</v>
      </c>
      <c r="G51" s="594">
        <f>G28+G49</f>
        <v>593</v>
      </c>
      <c r="H51" s="596">
        <f t="shared" ref="H51" si="10">G51/E51*100</f>
        <v>15.696135521439917</v>
      </c>
      <c r="I51" s="597">
        <f t="shared" ref="I51" si="11">G51/F51*100</f>
        <v>15.522341177394445</v>
      </c>
    </row>
    <row r="52" spans="1:9" s="203" customFormat="1" ht="15.75" x14ac:dyDescent="0.25">
      <c r="A52" s="890"/>
      <c r="B52" s="891"/>
    </row>
  </sheetData>
  <mergeCells count="10">
    <mergeCell ref="B25:D25"/>
    <mergeCell ref="A28:C28"/>
    <mergeCell ref="B43:C43"/>
    <mergeCell ref="B47:C47"/>
    <mergeCell ref="A5:I5"/>
    <mergeCell ref="A7:I7"/>
    <mergeCell ref="A8:I8"/>
    <mergeCell ref="A9:I9"/>
    <mergeCell ref="A10:I10"/>
    <mergeCell ref="B20:D20"/>
  </mergeCells>
  <printOptions horizontalCentered="1"/>
  <pageMargins left="0.23622047244094491" right="0.23622047244094491" top="0" bottom="0" header="0.31496062992125984" footer="0.31496062992125984"/>
  <pageSetup paperSize="9" scale="7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5"/>
  <sheetViews>
    <sheetView topLeftCell="A27" zoomScaleNormal="100" workbookViewId="0">
      <selection activeCell="M34" sqref="M34"/>
    </sheetView>
  </sheetViews>
  <sheetFormatPr defaultRowHeight="15" x14ac:dyDescent="0.25"/>
  <cols>
    <col min="1" max="2" width="11.28515625" style="156" customWidth="1"/>
    <col min="3" max="3" width="52.28515625" style="156" customWidth="1"/>
    <col min="4" max="4" width="37.7109375" style="156" customWidth="1"/>
    <col min="5" max="5" width="16.42578125" style="156" customWidth="1"/>
    <col min="6" max="6" width="16.42578125" style="158" customWidth="1"/>
    <col min="7" max="7" width="16.42578125" style="156" customWidth="1"/>
    <col min="8" max="9" width="10.7109375" style="156" customWidth="1"/>
    <col min="10" max="16384" width="9.140625" style="156"/>
  </cols>
  <sheetData>
    <row r="1" spans="1:9" s="21" customFormat="1" x14ac:dyDescent="0.25">
      <c r="F1" s="100"/>
    </row>
    <row r="2" spans="1:9" s="21" customFormat="1" ht="15.75" x14ac:dyDescent="0.25">
      <c r="A2" s="330" t="s">
        <v>17</v>
      </c>
      <c r="B2" s="331"/>
      <c r="C2" s="331"/>
      <c r="D2" s="332"/>
      <c r="F2" s="100"/>
    </row>
    <row r="3" spans="1:9" s="21" customFormat="1" ht="15.75" thickBot="1" x14ac:dyDescent="0.3">
      <c r="A3" s="331"/>
      <c r="B3" s="331"/>
      <c r="C3" s="331"/>
      <c r="D3" s="332" t="s">
        <v>18</v>
      </c>
      <c r="F3" s="101"/>
      <c r="I3" s="333" t="s">
        <v>517</v>
      </c>
    </row>
    <row r="4" spans="1:9" s="21" customFormat="1" x14ac:dyDescent="0.25">
      <c r="A4" s="334" t="s">
        <v>1</v>
      </c>
      <c r="B4" s="24" t="s">
        <v>2</v>
      </c>
      <c r="C4" s="335" t="s">
        <v>3</v>
      </c>
      <c r="D4" s="336"/>
      <c r="E4" s="24" t="s">
        <v>4</v>
      </c>
      <c r="F4" s="24" t="s">
        <v>326</v>
      </c>
      <c r="G4" s="335" t="s">
        <v>320</v>
      </c>
      <c r="H4" s="24" t="s">
        <v>322</v>
      </c>
      <c r="I4" s="337" t="s">
        <v>322</v>
      </c>
    </row>
    <row r="5" spans="1:9" s="21" customFormat="1" x14ac:dyDescent="0.25">
      <c r="A5" s="338" t="s">
        <v>5</v>
      </c>
      <c r="B5" s="25" t="s">
        <v>6</v>
      </c>
      <c r="C5" s="339" t="s">
        <v>7</v>
      </c>
      <c r="D5" s="340" t="s">
        <v>8</v>
      </c>
      <c r="E5" s="25" t="s">
        <v>325</v>
      </c>
      <c r="F5" s="25" t="s">
        <v>327</v>
      </c>
      <c r="G5" s="339" t="s">
        <v>321</v>
      </c>
      <c r="H5" s="25" t="s">
        <v>323</v>
      </c>
      <c r="I5" s="341" t="s">
        <v>324</v>
      </c>
    </row>
    <row r="6" spans="1:9" s="21" customFormat="1" ht="15.75" thickBot="1" x14ac:dyDescent="0.3">
      <c r="A6" s="342" t="s">
        <v>9</v>
      </c>
      <c r="B6" s="26" t="s">
        <v>10</v>
      </c>
      <c r="C6" s="343"/>
      <c r="D6" s="344"/>
      <c r="E6" s="25" t="s">
        <v>292</v>
      </c>
      <c r="F6" s="345">
        <v>43646</v>
      </c>
      <c r="G6" s="345">
        <v>43646</v>
      </c>
      <c r="H6" s="345" t="s">
        <v>235</v>
      </c>
      <c r="I6" s="341" t="s">
        <v>235</v>
      </c>
    </row>
    <row r="7" spans="1:9" s="21" customFormat="1" ht="15.75" x14ac:dyDescent="0.25">
      <c r="A7" s="346" t="s">
        <v>11</v>
      </c>
      <c r="B7" s="347"/>
      <c r="C7" s="348"/>
      <c r="D7" s="349"/>
      <c r="E7" s="350"/>
      <c r="F7" s="351"/>
      <c r="G7" s="352"/>
      <c r="H7" s="353"/>
      <c r="I7" s="354"/>
    </row>
    <row r="8" spans="1:9" s="21" customFormat="1" x14ac:dyDescent="0.25">
      <c r="A8" s="355" t="s">
        <v>19</v>
      </c>
      <c r="B8" s="356" t="s">
        <v>291</v>
      </c>
      <c r="C8" s="357"/>
      <c r="D8" s="357"/>
      <c r="E8" s="358">
        <f>SUM(E9+E10+E11+E12+E13+E14+E15)</f>
        <v>83108</v>
      </c>
      <c r="F8" s="359">
        <f>SUM(F9:F16)</f>
        <v>86240.7</v>
      </c>
      <c r="G8" s="358">
        <f>SUM(G9:G16)</f>
        <v>22349.863999999998</v>
      </c>
      <c r="H8" s="211">
        <f>G8/E8*100</f>
        <v>26.892554266737257</v>
      </c>
      <c r="I8" s="212">
        <f>G8/F8*100</f>
        <v>25.915680183486451</v>
      </c>
    </row>
    <row r="9" spans="1:9" s="21" customFormat="1" x14ac:dyDescent="0.25">
      <c r="A9" s="360"/>
      <c r="B9" s="360"/>
      <c r="C9" s="360" t="s">
        <v>20</v>
      </c>
      <c r="D9" s="360" t="s">
        <v>21</v>
      </c>
      <c r="E9" s="361">
        <v>13650</v>
      </c>
      <c r="F9" s="362">
        <v>13650</v>
      </c>
      <c r="G9" s="206">
        <v>3540.3310000000001</v>
      </c>
      <c r="H9" s="207">
        <f t="shared" ref="H9:H17" si="0">G9/E9*100</f>
        <v>25.936490842490844</v>
      </c>
      <c r="I9" s="208">
        <f t="shared" ref="I9:I17" si="1">G9/F9*100</f>
        <v>25.936490842490844</v>
      </c>
    </row>
    <row r="10" spans="1:9" s="21" customFormat="1" x14ac:dyDescent="0.25">
      <c r="A10" s="31"/>
      <c r="B10" s="360"/>
      <c r="C10" s="360" t="s">
        <v>231</v>
      </c>
      <c r="D10" s="360" t="s">
        <v>22</v>
      </c>
      <c r="E10" s="361">
        <v>4500</v>
      </c>
      <c r="F10" s="362">
        <v>4500</v>
      </c>
      <c r="G10" s="206">
        <v>522.60799999999995</v>
      </c>
      <c r="H10" s="207">
        <f t="shared" si="0"/>
        <v>11.61351111111111</v>
      </c>
      <c r="I10" s="208">
        <f t="shared" si="1"/>
        <v>11.61351111111111</v>
      </c>
    </row>
    <row r="11" spans="1:9" s="21" customFormat="1" x14ac:dyDescent="0.25">
      <c r="A11" s="31"/>
      <c r="B11" s="360"/>
      <c r="C11" s="360" t="s">
        <v>253</v>
      </c>
      <c r="D11" s="360" t="s">
        <v>22</v>
      </c>
      <c r="E11" s="361">
        <v>2000</v>
      </c>
      <c r="F11" s="362">
        <v>2000</v>
      </c>
      <c r="G11" s="206">
        <v>1011.244</v>
      </c>
      <c r="H11" s="207">
        <f t="shared" si="0"/>
        <v>50.562200000000004</v>
      </c>
      <c r="I11" s="208">
        <f t="shared" si="1"/>
        <v>50.562200000000004</v>
      </c>
    </row>
    <row r="12" spans="1:9" s="21" customFormat="1" x14ac:dyDescent="0.25">
      <c r="A12" s="31"/>
      <c r="B12" s="360"/>
      <c r="C12" s="360" t="s">
        <v>23</v>
      </c>
      <c r="D12" s="360" t="s">
        <v>24</v>
      </c>
      <c r="E12" s="361">
        <v>1260</v>
      </c>
      <c r="F12" s="362">
        <v>1260</v>
      </c>
      <c r="G12" s="206">
        <v>345.77</v>
      </c>
      <c r="H12" s="207">
        <f t="shared" si="0"/>
        <v>27.44206349206349</v>
      </c>
      <c r="I12" s="208">
        <f t="shared" si="1"/>
        <v>27.44206349206349</v>
      </c>
    </row>
    <row r="13" spans="1:9" s="21" customFormat="1" x14ac:dyDescent="0.25">
      <c r="A13" s="363"/>
      <c r="B13" s="364"/>
      <c r="C13" s="360" t="s">
        <v>289</v>
      </c>
      <c r="D13" s="360" t="s">
        <v>25</v>
      </c>
      <c r="E13" s="361">
        <v>52248</v>
      </c>
      <c r="F13" s="362">
        <v>52080.7</v>
      </c>
      <c r="G13" s="206">
        <v>12419.213</v>
      </c>
      <c r="H13" s="207">
        <f t="shared" si="0"/>
        <v>23.769738554585821</v>
      </c>
      <c r="I13" s="208">
        <f t="shared" si="1"/>
        <v>23.846094618543916</v>
      </c>
    </row>
    <row r="14" spans="1:9" s="21" customFormat="1" x14ac:dyDescent="0.25">
      <c r="A14" s="363"/>
      <c r="B14" s="365"/>
      <c r="C14" s="366" t="s">
        <v>252</v>
      </c>
      <c r="D14" s="366" t="s">
        <v>26</v>
      </c>
      <c r="E14" s="361">
        <v>6300</v>
      </c>
      <c r="F14" s="362">
        <v>6300</v>
      </c>
      <c r="G14" s="206">
        <v>3934.5129999999999</v>
      </c>
      <c r="H14" s="207">
        <f t="shared" si="0"/>
        <v>62.4525873015873</v>
      </c>
      <c r="I14" s="208">
        <f t="shared" si="1"/>
        <v>62.4525873015873</v>
      </c>
    </row>
    <row r="15" spans="1:9" s="21" customFormat="1" x14ac:dyDescent="0.25">
      <c r="A15" s="367"/>
      <c r="B15" s="365"/>
      <c r="C15" s="366" t="s">
        <v>270</v>
      </c>
      <c r="D15" s="368" t="s">
        <v>137</v>
      </c>
      <c r="E15" s="361">
        <v>3150</v>
      </c>
      <c r="F15" s="362">
        <v>3150</v>
      </c>
      <c r="G15" s="206">
        <v>195.33699999999999</v>
      </c>
      <c r="H15" s="209">
        <f t="shared" si="0"/>
        <v>6.2011746031746027</v>
      </c>
      <c r="I15" s="210">
        <f t="shared" si="1"/>
        <v>6.2011746031746027</v>
      </c>
    </row>
    <row r="16" spans="1:9" s="21" customFormat="1" ht="15.75" thickBot="1" x14ac:dyDescent="0.3">
      <c r="A16" s="369"/>
      <c r="B16" s="370"/>
      <c r="C16" s="371" t="s">
        <v>446</v>
      </c>
      <c r="D16" s="372" t="s">
        <v>31</v>
      </c>
      <c r="E16" s="373">
        <v>0</v>
      </c>
      <c r="F16" s="374">
        <v>3300</v>
      </c>
      <c r="G16" s="206">
        <v>380.84800000000001</v>
      </c>
      <c r="H16" s="209">
        <v>0</v>
      </c>
      <c r="I16" s="208">
        <f t="shared" si="1"/>
        <v>11.540848484848485</v>
      </c>
    </row>
    <row r="17" spans="1:11" s="21" customFormat="1" ht="16.5" customHeight="1" thickBot="1" x14ac:dyDescent="0.3">
      <c r="A17" s="1092" t="s">
        <v>16</v>
      </c>
      <c r="B17" s="1093"/>
      <c r="C17" s="1094"/>
      <c r="D17" s="375"/>
      <c r="E17" s="328">
        <f>E8</f>
        <v>83108</v>
      </c>
      <c r="F17" s="329">
        <f t="shared" ref="F17:G17" si="2">F8</f>
        <v>86240.7</v>
      </c>
      <c r="G17" s="328">
        <f t="shared" si="2"/>
        <v>22349.863999999998</v>
      </c>
      <c r="H17" s="376">
        <f t="shared" si="0"/>
        <v>26.892554266737257</v>
      </c>
      <c r="I17" s="377">
        <f t="shared" si="1"/>
        <v>25.915680183486451</v>
      </c>
    </row>
    <row r="18" spans="1:11" s="21" customFormat="1" ht="15.75" x14ac:dyDescent="0.25">
      <c r="A18" s="214"/>
      <c r="B18" s="214"/>
      <c r="C18" s="214"/>
      <c r="D18" s="215"/>
      <c r="F18" s="100"/>
    </row>
    <row r="19" spans="1:11" s="21" customFormat="1" ht="15.75" thickBot="1" x14ac:dyDescent="0.3">
      <c r="F19" s="100"/>
    </row>
    <row r="20" spans="1:11" s="21" customFormat="1" x14ac:dyDescent="0.25">
      <c r="A20" s="334" t="s">
        <v>1</v>
      </c>
      <c r="B20" s="24" t="s">
        <v>2</v>
      </c>
      <c r="C20" s="335" t="s">
        <v>3</v>
      </c>
      <c r="D20" s="336"/>
      <c r="E20" s="24" t="s">
        <v>4</v>
      </c>
      <c r="F20" s="24" t="s">
        <v>326</v>
      </c>
      <c r="G20" s="335" t="s">
        <v>320</v>
      </c>
      <c r="H20" s="24" t="s">
        <v>322</v>
      </c>
      <c r="I20" s="337" t="s">
        <v>322</v>
      </c>
      <c r="K20" s="102"/>
    </row>
    <row r="21" spans="1:11" s="21" customFormat="1" x14ac:dyDescent="0.25">
      <c r="A21" s="338" t="s">
        <v>5</v>
      </c>
      <c r="B21" s="25" t="s">
        <v>6</v>
      </c>
      <c r="C21" s="339" t="s">
        <v>7</v>
      </c>
      <c r="D21" s="340" t="s">
        <v>8</v>
      </c>
      <c r="E21" s="25" t="s">
        <v>325</v>
      </c>
      <c r="F21" s="25" t="s">
        <v>327</v>
      </c>
      <c r="G21" s="339" t="s">
        <v>321</v>
      </c>
      <c r="H21" s="25" t="s">
        <v>323</v>
      </c>
      <c r="I21" s="341" t="s">
        <v>324</v>
      </c>
    </row>
    <row r="22" spans="1:11" s="21" customFormat="1" ht="15.75" thickBot="1" x14ac:dyDescent="0.3">
      <c r="A22" s="342" t="s">
        <v>9</v>
      </c>
      <c r="B22" s="26" t="s">
        <v>10</v>
      </c>
      <c r="C22" s="343"/>
      <c r="D22" s="344"/>
      <c r="E22" s="25" t="s">
        <v>292</v>
      </c>
      <c r="F22" s="345">
        <v>43646</v>
      </c>
      <c r="G22" s="345">
        <v>43646</v>
      </c>
      <c r="H22" s="345" t="s">
        <v>235</v>
      </c>
      <c r="I22" s="341" t="s">
        <v>235</v>
      </c>
    </row>
    <row r="23" spans="1:11" s="21" customFormat="1" ht="15.75" x14ac:dyDescent="0.25">
      <c r="A23" s="346" t="s">
        <v>338</v>
      </c>
      <c r="B23" s="347"/>
      <c r="C23" s="348"/>
      <c r="D23" s="349"/>
      <c r="E23" s="350"/>
      <c r="F23" s="351"/>
      <c r="G23" s="352"/>
      <c r="H23" s="353"/>
      <c r="I23" s="354"/>
    </row>
    <row r="24" spans="1:11" s="21" customFormat="1" x14ac:dyDescent="0.25">
      <c r="A24" s="39" t="s">
        <v>19</v>
      </c>
      <c r="B24" s="378" t="s">
        <v>291</v>
      </c>
      <c r="C24" s="379"/>
      <c r="D24" s="379"/>
      <c r="E24" s="242">
        <f>SUM(E25:E46)</f>
        <v>27886</v>
      </c>
      <c r="F24" s="380">
        <f>SUM(F25:F46)</f>
        <v>32290</v>
      </c>
      <c r="G24" s="242">
        <f>SUM(G25:G46)</f>
        <v>8687</v>
      </c>
      <c r="H24" s="213">
        <f>G24/E24*100</f>
        <v>31.151832460732987</v>
      </c>
      <c r="I24" s="381">
        <f>G24/F24*100</f>
        <v>26.903065964694949</v>
      </c>
      <c r="J24" s="382"/>
    </row>
    <row r="25" spans="1:11" s="136" customFormat="1" x14ac:dyDescent="0.25">
      <c r="A25" s="383"/>
      <c r="B25" s="384"/>
      <c r="C25" s="385" t="s">
        <v>346</v>
      </c>
      <c r="D25" s="384" t="s">
        <v>25</v>
      </c>
      <c r="E25" s="386">
        <v>420</v>
      </c>
      <c r="F25" s="387">
        <v>420</v>
      </c>
      <c r="G25" s="299">
        <v>0</v>
      </c>
      <c r="H25" s="308">
        <f t="shared" ref="H25:H41" si="3">G25/E25*100</f>
        <v>0</v>
      </c>
      <c r="I25" s="252">
        <f t="shared" ref="I25:I46" si="4">G25/F25*100</f>
        <v>0</v>
      </c>
    </row>
    <row r="26" spans="1:11" s="136" customFormat="1" x14ac:dyDescent="0.25">
      <c r="A26" s="383"/>
      <c r="B26" s="384"/>
      <c r="C26" s="385" t="s">
        <v>347</v>
      </c>
      <c r="D26" s="384" t="s">
        <v>25</v>
      </c>
      <c r="E26" s="386">
        <v>180</v>
      </c>
      <c r="F26" s="387">
        <v>180</v>
      </c>
      <c r="G26" s="299">
        <v>0</v>
      </c>
      <c r="H26" s="308">
        <f t="shared" si="3"/>
        <v>0</v>
      </c>
      <c r="I26" s="252">
        <f t="shared" si="4"/>
        <v>0</v>
      </c>
    </row>
    <row r="27" spans="1:11" s="136" customFormat="1" x14ac:dyDescent="0.25">
      <c r="A27" s="383"/>
      <c r="B27" s="384"/>
      <c r="C27" s="385" t="s">
        <v>348</v>
      </c>
      <c r="D27" s="384" t="s">
        <v>25</v>
      </c>
      <c r="E27" s="386">
        <v>1339</v>
      </c>
      <c r="F27" s="387">
        <v>1330.5</v>
      </c>
      <c r="G27" s="299">
        <v>0</v>
      </c>
      <c r="H27" s="308">
        <f t="shared" si="3"/>
        <v>0</v>
      </c>
      <c r="I27" s="252">
        <f t="shared" si="4"/>
        <v>0</v>
      </c>
    </row>
    <row r="28" spans="1:11" s="136" customFormat="1" x14ac:dyDescent="0.25">
      <c r="A28" s="383"/>
      <c r="B28" s="384"/>
      <c r="C28" s="385" t="s">
        <v>349</v>
      </c>
      <c r="D28" s="384" t="s">
        <v>25</v>
      </c>
      <c r="E28" s="386">
        <v>2480</v>
      </c>
      <c r="F28" s="387">
        <v>2480</v>
      </c>
      <c r="G28" s="299">
        <v>111</v>
      </c>
      <c r="H28" s="308">
        <f t="shared" si="3"/>
        <v>4.4758064516129039</v>
      </c>
      <c r="I28" s="252">
        <f t="shared" si="4"/>
        <v>4.4758064516129039</v>
      </c>
    </row>
    <row r="29" spans="1:11" s="136" customFormat="1" x14ac:dyDescent="0.25">
      <c r="A29" s="383"/>
      <c r="B29" s="384"/>
      <c r="C29" s="385" t="s">
        <v>350</v>
      </c>
      <c r="D29" s="384" t="s">
        <v>25</v>
      </c>
      <c r="E29" s="386">
        <v>13500</v>
      </c>
      <c r="F29" s="387">
        <v>13500</v>
      </c>
      <c r="G29" s="299">
        <v>246</v>
      </c>
      <c r="H29" s="308">
        <f t="shared" si="3"/>
        <v>1.8222222222222224</v>
      </c>
      <c r="I29" s="252">
        <f t="shared" si="4"/>
        <v>1.8222222222222224</v>
      </c>
      <c r="K29" s="388"/>
    </row>
    <row r="30" spans="1:11" s="136" customFormat="1" x14ac:dyDescent="0.25">
      <c r="A30" s="383"/>
      <c r="B30" s="384"/>
      <c r="C30" s="385" t="s">
        <v>351</v>
      </c>
      <c r="D30" s="384" t="s">
        <v>25</v>
      </c>
      <c r="E30" s="386">
        <v>130</v>
      </c>
      <c r="F30" s="387">
        <v>130</v>
      </c>
      <c r="G30" s="299">
        <v>0</v>
      </c>
      <c r="H30" s="308">
        <f t="shared" si="3"/>
        <v>0</v>
      </c>
      <c r="I30" s="252">
        <f t="shared" si="4"/>
        <v>0</v>
      </c>
    </row>
    <row r="31" spans="1:11" s="136" customFormat="1" x14ac:dyDescent="0.25">
      <c r="A31" s="383"/>
      <c r="B31" s="384"/>
      <c r="C31" s="385" t="s">
        <v>352</v>
      </c>
      <c r="D31" s="384" t="s">
        <v>25</v>
      </c>
      <c r="E31" s="386">
        <v>43</v>
      </c>
      <c r="F31" s="387">
        <v>43</v>
      </c>
      <c r="G31" s="299">
        <v>0</v>
      </c>
      <c r="H31" s="308">
        <f t="shared" si="3"/>
        <v>0</v>
      </c>
      <c r="I31" s="252">
        <f t="shared" si="4"/>
        <v>0</v>
      </c>
    </row>
    <row r="32" spans="1:11" s="136" customFormat="1" x14ac:dyDescent="0.25">
      <c r="A32" s="383"/>
      <c r="B32" s="384"/>
      <c r="C32" s="385" t="s">
        <v>353</v>
      </c>
      <c r="D32" s="384" t="s">
        <v>25</v>
      </c>
      <c r="E32" s="386">
        <v>61</v>
      </c>
      <c r="F32" s="387">
        <v>61</v>
      </c>
      <c r="G32" s="299">
        <v>16</v>
      </c>
      <c r="H32" s="308">
        <f t="shared" si="3"/>
        <v>26.229508196721312</v>
      </c>
      <c r="I32" s="252">
        <f t="shared" si="4"/>
        <v>26.229508196721312</v>
      </c>
    </row>
    <row r="33" spans="1:9" s="136" customFormat="1" x14ac:dyDescent="0.25">
      <c r="A33" s="383"/>
      <c r="B33" s="384"/>
      <c r="C33" s="385" t="s">
        <v>354</v>
      </c>
      <c r="D33" s="384" t="s">
        <v>25</v>
      </c>
      <c r="E33" s="386">
        <v>19</v>
      </c>
      <c r="F33" s="387">
        <v>19</v>
      </c>
      <c r="G33" s="299">
        <v>0</v>
      </c>
      <c r="H33" s="308">
        <f t="shared" si="3"/>
        <v>0</v>
      </c>
      <c r="I33" s="252">
        <f t="shared" si="4"/>
        <v>0</v>
      </c>
    </row>
    <row r="34" spans="1:9" s="136" customFormat="1" x14ac:dyDescent="0.25">
      <c r="A34" s="383"/>
      <c r="B34" s="384"/>
      <c r="C34" s="385" t="s">
        <v>355</v>
      </c>
      <c r="D34" s="384" t="s">
        <v>25</v>
      </c>
      <c r="E34" s="386">
        <v>90</v>
      </c>
      <c r="F34" s="387">
        <v>98.5</v>
      </c>
      <c r="G34" s="299">
        <v>98</v>
      </c>
      <c r="H34" s="308">
        <f t="shared" si="3"/>
        <v>108.88888888888889</v>
      </c>
      <c r="I34" s="252">
        <f t="shared" si="4"/>
        <v>99.492385786802032</v>
      </c>
    </row>
    <row r="35" spans="1:9" s="136" customFormat="1" x14ac:dyDescent="0.25">
      <c r="A35" s="383"/>
      <c r="B35" s="384"/>
      <c r="C35" s="385" t="s">
        <v>356</v>
      </c>
      <c r="D35" s="384" t="s">
        <v>25</v>
      </c>
      <c r="E35" s="386">
        <v>7</v>
      </c>
      <c r="F35" s="387">
        <v>7</v>
      </c>
      <c r="G35" s="299">
        <v>6</v>
      </c>
      <c r="H35" s="308">
        <f t="shared" si="3"/>
        <v>85.714285714285708</v>
      </c>
      <c r="I35" s="252">
        <f t="shared" si="4"/>
        <v>85.714285714285708</v>
      </c>
    </row>
    <row r="36" spans="1:9" s="136" customFormat="1" x14ac:dyDescent="0.25">
      <c r="A36" s="383"/>
      <c r="B36" s="384"/>
      <c r="C36" s="385" t="s">
        <v>357</v>
      </c>
      <c r="D36" s="384" t="s">
        <v>25</v>
      </c>
      <c r="E36" s="386">
        <v>4080</v>
      </c>
      <c r="F36" s="387">
        <v>4080</v>
      </c>
      <c r="G36" s="299">
        <v>4011</v>
      </c>
      <c r="H36" s="308">
        <f t="shared" si="3"/>
        <v>98.308823529411754</v>
      </c>
      <c r="I36" s="252">
        <f t="shared" si="4"/>
        <v>98.308823529411754</v>
      </c>
    </row>
    <row r="37" spans="1:9" s="136" customFormat="1" ht="26.25" x14ac:dyDescent="0.25">
      <c r="A37" s="383"/>
      <c r="B37" s="384"/>
      <c r="C37" s="385" t="s">
        <v>358</v>
      </c>
      <c r="D37" s="384" t="s">
        <v>25</v>
      </c>
      <c r="E37" s="386">
        <v>1681</v>
      </c>
      <c r="F37" s="387">
        <v>1681</v>
      </c>
      <c r="G37" s="299">
        <v>1582</v>
      </c>
      <c r="H37" s="308">
        <f t="shared" si="3"/>
        <v>94.110648423557407</v>
      </c>
      <c r="I37" s="252">
        <f t="shared" si="4"/>
        <v>94.110648423557407</v>
      </c>
    </row>
    <row r="38" spans="1:9" s="136" customFormat="1" ht="26.25" x14ac:dyDescent="0.25">
      <c r="A38" s="383"/>
      <c r="B38" s="384"/>
      <c r="C38" s="385" t="s">
        <v>359</v>
      </c>
      <c r="D38" s="384" t="s">
        <v>25</v>
      </c>
      <c r="E38" s="386">
        <v>300</v>
      </c>
      <c r="F38" s="387">
        <v>300</v>
      </c>
      <c r="G38" s="299">
        <v>113</v>
      </c>
      <c r="H38" s="308">
        <f t="shared" si="3"/>
        <v>37.666666666666664</v>
      </c>
      <c r="I38" s="252">
        <f t="shared" si="4"/>
        <v>37.666666666666664</v>
      </c>
    </row>
    <row r="39" spans="1:9" s="136" customFormat="1" x14ac:dyDescent="0.25">
      <c r="A39" s="383"/>
      <c r="B39" s="384"/>
      <c r="C39" s="385" t="s">
        <v>360</v>
      </c>
      <c r="D39" s="384" t="s">
        <v>25</v>
      </c>
      <c r="E39" s="386">
        <v>26</v>
      </c>
      <c r="F39" s="387">
        <v>26</v>
      </c>
      <c r="G39" s="299">
        <v>0</v>
      </c>
      <c r="H39" s="308">
        <f t="shared" si="3"/>
        <v>0</v>
      </c>
      <c r="I39" s="252">
        <f t="shared" si="4"/>
        <v>0</v>
      </c>
    </row>
    <row r="40" spans="1:9" s="136" customFormat="1" x14ac:dyDescent="0.25">
      <c r="A40" s="383"/>
      <c r="B40" s="384"/>
      <c r="C40" s="385" t="s">
        <v>361</v>
      </c>
      <c r="D40" s="384" t="s">
        <v>25</v>
      </c>
      <c r="E40" s="386">
        <v>480</v>
      </c>
      <c r="F40" s="387">
        <v>480</v>
      </c>
      <c r="G40" s="299">
        <v>460</v>
      </c>
      <c r="H40" s="308">
        <f t="shared" si="3"/>
        <v>95.833333333333343</v>
      </c>
      <c r="I40" s="252">
        <f t="shared" si="4"/>
        <v>95.833333333333343</v>
      </c>
    </row>
    <row r="41" spans="1:9" s="136" customFormat="1" x14ac:dyDescent="0.25">
      <c r="A41" s="383"/>
      <c r="B41" s="384"/>
      <c r="C41" s="385" t="s">
        <v>362</v>
      </c>
      <c r="D41" s="384" t="s">
        <v>25</v>
      </c>
      <c r="E41" s="297">
        <v>3050</v>
      </c>
      <c r="F41" s="298">
        <v>3050</v>
      </c>
      <c r="G41" s="299">
        <v>0</v>
      </c>
      <c r="H41" s="308">
        <f t="shared" si="3"/>
        <v>0</v>
      </c>
      <c r="I41" s="252">
        <f t="shared" si="4"/>
        <v>0</v>
      </c>
    </row>
    <row r="42" spans="1:9" s="136" customFormat="1" x14ac:dyDescent="0.25">
      <c r="A42" s="383"/>
      <c r="B42" s="384"/>
      <c r="C42" s="385" t="s">
        <v>445</v>
      </c>
      <c r="D42" s="384" t="s">
        <v>25</v>
      </c>
      <c r="E42" s="297">
        <v>0</v>
      </c>
      <c r="F42" s="298">
        <v>236.7</v>
      </c>
      <c r="G42" s="299">
        <v>0</v>
      </c>
      <c r="H42" s="308">
        <v>0</v>
      </c>
      <c r="I42" s="252">
        <f t="shared" si="4"/>
        <v>0</v>
      </c>
    </row>
    <row r="43" spans="1:9" s="136" customFormat="1" x14ac:dyDescent="0.25">
      <c r="A43" s="383"/>
      <c r="B43" s="384"/>
      <c r="C43" s="385" t="s">
        <v>444</v>
      </c>
      <c r="D43" s="384" t="s">
        <v>25</v>
      </c>
      <c r="E43" s="297">
        <v>0</v>
      </c>
      <c r="F43" s="298">
        <v>4000</v>
      </c>
      <c r="G43" s="299">
        <v>2044</v>
      </c>
      <c r="H43" s="308">
        <v>0</v>
      </c>
      <c r="I43" s="252">
        <f t="shared" si="4"/>
        <v>51.1</v>
      </c>
    </row>
    <row r="44" spans="1:9" s="136" customFormat="1" x14ac:dyDescent="0.25">
      <c r="A44" s="383"/>
      <c r="B44" s="384"/>
      <c r="C44" s="385" t="s">
        <v>454</v>
      </c>
      <c r="D44" s="384" t="s">
        <v>25</v>
      </c>
      <c r="E44" s="297">
        <v>0</v>
      </c>
      <c r="F44" s="298">
        <v>59.5</v>
      </c>
      <c r="G44" s="299">
        <v>0</v>
      </c>
      <c r="H44" s="308">
        <v>0</v>
      </c>
      <c r="I44" s="252">
        <f t="shared" si="4"/>
        <v>0</v>
      </c>
    </row>
    <row r="45" spans="1:9" s="136" customFormat="1" x14ac:dyDescent="0.25">
      <c r="A45" s="383"/>
      <c r="B45" s="384"/>
      <c r="C45" s="385" t="s">
        <v>455</v>
      </c>
      <c r="D45" s="384" t="s">
        <v>25</v>
      </c>
      <c r="E45" s="297">
        <v>0</v>
      </c>
      <c r="F45" s="298">
        <v>59.2</v>
      </c>
      <c r="G45" s="299">
        <v>0</v>
      </c>
      <c r="H45" s="308">
        <v>0</v>
      </c>
      <c r="I45" s="252">
        <f t="shared" si="4"/>
        <v>0</v>
      </c>
    </row>
    <row r="46" spans="1:9" s="21" customFormat="1" ht="16.5" customHeight="1" x14ac:dyDescent="0.25">
      <c r="A46" s="383"/>
      <c r="B46" s="384"/>
      <c r="C46" s="385" t="s">
        <v>456</v>
      </c>
      <c r="D46" s="384" t="s">
        <v>25</v>
      </c>
      <c r="E46" s="297">
        <v>0</v>
      </c>
      <c r="F46" s="298">
        <v>48.6</v>
      </c>
      <c r="G46" s="299">
        <v>0</v>
      </c>
      <c r="H46" s="308">
        <v>0</v>
      </c>
      <c r="I46" s="252">
        <f t="shared" si="4"/>
        <v>0</v>
      </c>
    </row>
    <row r="47" spans="1:9" s="21" customFormat="1" x14ac:dyDescent="0.25">
      <c r="A47" s="309" t="s">
        <v>363</v>
      </c>
      <c r="B47" s="389" t="s">
        <v>217</v>
      </c>
      <c r="C47" s="390"/>
      <c r="D47" s="390"/>
      <c r="E47" s="291">
        <f>SUM(E48)</f>
        <v>1098</v>
      </c>
      <c r="F47" s="292">
        <f t="shared" ref="F47:G47" si="5">SUM(F48)</f>
        <v>5630.2</v>
      </c>
      <c r="G47" s="291">
        <f t="shared" si="5"/>
        <v>50</v>
      </c>
      <c r="H47" s="391">
        <f>G47/E47*100</f>
        <v>4.5537340619307827</v>
      </c>
      <c r="I47" s="392">
        <f>G47/F47*100</f>
        <v>0.88806791943447838</v>
      </c>
    </row>
    <row r="48" spans="1:9" s="21" customFormat="1" ht="18.75" customHeight="1" thickBot="1" x14ac:dyDescent="0.3">
      <c r="A48" s="383"/>
      <c r="B48" s="384"/>
      <c r="C48" s="385" t="s">
        <v>364</v>
      </c>
      <c r="D48" s="384" t="s">
        <v>25</v>
      </c>
      <c r="E48" s="297">
        <v>1098</v>
      </c>
      <c r="F48" s="298">
        <v>5630.2</v>
      </c>
      <c r="G48" s="299">
        <v>50</v>
      </c>
      <c r="H48" s="308">
        <f t="shared" ref="H48:H49" si="6">G48/E48*100</f>
        <v>4.5537340619307827</v>
      </c>
      <c r="I48" s="252">
        <f t="shared" ref="I48:I49" si="7">G48/F48*100</f>
        <v>0.88806791943447838</v>
      </c>
    </row>
    <row r="49" spans="1:9" s="21" customFormat="1" ht="16.5" thickBot="1" x14ac:dyDescent="0.3">
      <c r="A49" s="1092" t="s">
        <v>416</v>
      </c>
      <c r="B49" s="1093"/>
      <c r="C49" s="1094"/>
      <c r="D49" s="375"/>
      <c r="E49" s="328">
        <f>E24+E47</f>
        <v>28984</v>
      </c>
      <c r="F49" s="329">
        <f t="shared" ref="F49:G49" si="8">F24+F47</f>
        <v>37920.199999999997</v>
      </c>
      <c r="G49" s="328">
        <f t="shared" si="8"/>
        <v>8737</v>
      </c>
      <c r="H49" s="376">
        <f t="shared" si="6"/>
        <v>30.144217499309967</v>
      </c>
      <c r="I49" s="377">
        <f t="shared" si="7"/>
        <v>23.04049029277272</v>
      </c>
    </row>
    <row r="50" spans="1:9" s="21" customFormat="1" ht="15" customHeight="1" thickBot="1" x14ac:dyDescent="0.3">
      <c r="F50" s="100"/>
    </row>
    <row r="51" spans="1:9" s="21" customFormat="1" ht="16.5" thickBot="1" x14ac:dyDescent="0.3">
      <c r="A51" s="1092" t="s">
        <v>418</v>
      </c>
      <c r="B51" s="1093"/>
      <c r="C51" s="1094"/>
      <c r="D51" s="375"/>
      <c r="E51" s="328">
        <f>E17+E49</f>
        <v>112092</v>
      </c>
      <c r="F51" s="329">
        <f t="shared" ref="F51:G51" si="9">F17+F49</f>
        <v>124160.9</v>
      </c>
      <c r="G51" s="328">
        <f t="shared" si="9"/>
        <v>31086.863999999998</v>
      </c>
      <c r="H51" s="376">
        <f t="shared" ref="H51" si="10">G51/E51*100</f>
        <v>27.733347607322557</v>
      </c>
      <c r="I51" s="377">
        <f t="shared" ref="I51" si="11">G51/F51*100</f>
        <v>25.037563355291397</v>
      </c>
    </row>
    <row r="52" spans="1:9" s="21" customFormat="1" x14ac:dyDescent="0.25">
      <c r="F52" s="100"/>
    </row>
    <row r="53" spans="1:9" s="21" customFormat="1" x14ac:dyDescent="0.25">
      <c r="F53" s="100"/>
    </row>
    <row r="54" spans="1:9" s="21" customFormat="1" x14ac:dyDescent="0.25">
      <c r="F54" s="100"/>
    </row>
    <row r="55" spans="1:9" s="21" customFormat="1" x14ac:dyDescent="0.25">
      <c r="F55" s="100"/>
    </row>
    <row r="56" spans="1:9" s="21" customFormat="1" x14ac:dyDescent="0.25">
      <c r="F56" s="100"/>
    </row>
    <row r="57" spans="1:9" s="21" customFormat="1" x14ac:dyDescent="0.25">
      <c r="F57" s="100"/>
    </row>
    <row r="58" spans="1:9" s="21" customFormat="1" x14ac:dyDescent="0.25">
      <c r="F58" s="100"/>
    </row>
    <row r="59" spans="1:9" s="21" customFormat="1" x14ac:dyDescent="0.25">
      <c r="F59" s="100"/>
    </row>
    <row r="60" spans="1:9" s="21" customFormat="1" x14ac:dyDescent="0.25">
      <c r="F60" s="100"/>
    </row>
    <row r="61" spans="1:9" s="21" customFormat="1" x14ac:dyDescent="0.25">
      <c r="F61" s="100"/>
    </row>
    <row r="62" spans="1:9" s="21" customFormat="1" x14ac:dyDescent="0.25">
      <c r="F62" s="100"/>
    </row>
    <row r="63" spans="1:9" s="21" customFormat="1" x14ac:dyDescent="0.25">
      <c r="F63" s="100"/>
    </row>
    <row r="64" spans="1:9" s="21" customFormat="1" x14ac:dyDescent="0.25">
      <c r="F64" s="100"/>
    </row>
    <row r="65" spans="6:6" s="21" customFormat="1" x14ac:dyDescent="0.25">
      <c r="F65" s="100"/>
    </row>
    <row r="66" spans="6:6" s="21" customFormat="1" x14ac:dyDescent="0.25">
      <c r="F66" s="100"/>
    </row>
    <row r="67" spans="6:6" s="21" customFormat="1" x14ac:dyDescent="0.25">
      <c r="F67" s="100"/>
    </row>
    <row r="68" spans="6:6" s="21" customFormat="1" x14ac:dyDescent="0.25">
      <c r="F68" s="100"/>
    </row>
    <row r="69" spans="6:6" s="21" customFormat="1" x14ac:dyDescent="0.25">
      <c r="F69" s="100"/>
    </row>
    <row r="70" spans="6:6" s="21" customFormat="1" x14ac:dyDescent="0.25">
      <c r="F70" s="100"/>
    </row>
    <row r="71" spans="6:6" s="21" customFormat="1" x14ac:dyDescent="0.25">
      <c r="F71" s="100"/>
    </row>
    <row r="72" spans="6:6" s="21" customFormat="1" x14ac:dyDescent="0.25">
      <c r="F72" s="100"/>
    </row>
    <row r="73" spans="6:6" s="21" customFormat="1" x14ac:dyDescent="0.25">
      <c r="F73" s="100"/>
    </row>
    <row r="74" spans="6:6" s="21" customFormat="1" x14ac:dyDescent="0.25">
      <c r="F74" s="100"/>
    </row>
    <row r="75" spans="6:6" s="21" customFormat="1" x14ac:dyDescent="0.25">
      <c r="F75" s="100"/>
    </row>
    <row r="76" spans="6:6" s="21" customFormat="1" x14ac:dyDescent="0.25">
      <c r="F76" s="100"/>
    </row>
    <row r="77" spans="6:6" s="21" customFormat="1" x14ac:dyDescent="0.25">
      <c r="F77" s="100"/>
    </row>
    <row r="78" spans="6:6" s="21" customFormat="1" x14ac:dyDescent="0.25">
      <c r="F78" s="100"/>
    </row>
    <row r="79" spans="6:6" s="21" customFormat="1" x14ac:dyDescent="0.25">
      <c r="F79" s="100"/>
    </row>
    <row r="80" spans="6:6" s="21" customFormat="1" x14ac:dyDescent="0.25">
      <c r="F80" s="100"/>
    </row>
    <row r="81" spans="6:6" s="21" customFormat="1" x14ac:dyDescent="0.25">
      <c r="F81" s="100"/>
    </row>
    <row r="82" spans="6:6" s="21" customFormat="1" x14ac:dyDescent="0.25">
      <c r="F82" s="100"/>
    </row>
    <row r="83" spans="6:6" s="21" customFormat="1" x14ac:dyDescent="0.25">
      <c r="F83" s="100"/>
    </row>
    <row r="84" spans="6:6" s="21" customFormat="1" x14ac:dyDescent="0.25">
      <c r="F84" s="100"/>
    </row>
    <row r="85" spans="6:6" s="21" customFormat="1" x14ac:dyDescent="0.25">
      <c r="F85" s="100"/>
    </row>
    <row r="86" spans="6:6" s="21" customFormat="1" x14ac:dyDescent="0.25">
      <c r="F86" s="100"/>
    </row>
    <row r="87" spans="6:6" s="21" customFormat="1" x14ac:dyDescent="0.25">
      <c r="F87" s="100"/>
    </row>
    <row r="88" spans="6:6" s="21" customFormat="1" x14ac:dyDescent="0.25">
      <c r="F88" s="100"/>
    </row>
    <row r="89" spans="6:6" s="21" customFormat="1" x14ac:dyDescent="0.25">
      <c r="F89" s="100"/>
    </row>
    <row r="90" spans="6:6" s="21" customFormat="1" x14ac:dyDescent="0.25">
      <c r="F90" s="100"/>
    </row>
    <row r="91" spans="6:6" s="21" customFormat="1" x14ac:dyDescent="0.25">
      <c r="F91" s="100"/>
    </row>
    <row r="92" spans="6:6" s="21" customFormat="1" x14ac:dyDescent="0.25">
      <c r="F92" s="100"/>
    </row>
    <row r="93" spans="6:6" s="21" customFormat="1" x14ac:dyDescent="0.25">
      <c r="F93" s="100"/>
    </row>
    <row r="94" spans="6:6" s="21" customFormat="1" x14ac:dyDescent="0.25">
      <c r="F94" s="100"/>
    </row>
    <row r="95" spans="6:6" s="21" customFormat="1" x14ac:dyDescent="0.25">
      <c r="F95" s="100"/>
    </row>
    <row r="96" spans="6:6" s="21" customFormat="1" x14ac:dyDescent="0.25">
      <c r="F96" s="100"/>
    </row>
    <row r="97" spans="6:6" s="21" customFormat="1" x14ac:dyDescent="0.25">
      <c r="F97" s="100"/>
    </row>
    <row r="98" spans="6:6" s="21" customFormat="1" x14ac:dyDescent="0.25">
      <c r="F98" s="100"/>
    </row>
    <row r="99" spans="6:6" s="21" customFormat="1" x14ac:dyDescent="0.25">
      <c r="F99" s="100"/>
    </row>
    <row r="100" spans="6:6" s="21" customFormat="1" x14ac:dyDescent="0.25">
      <c r="F100" s="100"/>
    </row>
    <row r="101" spans="6:6" s="21" customFormat="1" x14ac:dyDescent="0.25">
      <c r="F101" s="100"/>
    </row>
    <row r="102" spans="6:6" s="21" customFormat="1" x14ac:dyDescent="0.25">
      <c r="F102" s="100"/>
    </row>
    <row r="103" spans="6:6" s="21" customFormat="1" x14ac:dyDescent="0.25">
      <c r="F103" s="100"/>
    </row>
    <row r="104" spans="6:6" s="21" customFormat="1" x14ac:dyDescent="0.25">
      <c r="F104" s="100"/>
    </row>
    <row r="105" spans="6:6" s="21" customFormat="1" x14ac:dyDescent="0.25">
      <c r="F105" s="100"/>
    </row>
    <row r="106" spans="6:6" s="21" customFormat="1" x14ac:dyDescent="0.25">
      <c r="F106" s="100"/>
    </row>
    <row r="107" spans="6:6" s="21" customFormat="1" x14ac:dyDescent="0.25">
      <c r="F107" s="100"/>
    </row>
    <row r="108" spans="6:6" s="21" customFormat="1" x14ac:dyDescent="0.25">
      <c r="F108" s="100"/>
    </row>
    <row r="109" spans="6:6" s="21" customFormat="1" x14ac:dyDescent="0.25">
      <c r="F109" s="100"/>
    </row>
    <row r="110" spans="6:6" s="21" customFormat="1" x14ac:dyDescent="0.25">
      <c r="F110" s="100"/>
    </row>
    <row r="111" spans="6:6" s="21" customFormat="1" x14ac:dyDescent="0.25">
      <c r="F111" s="100"/>
    </row>
    <row r="112" spans="6:6" s="21" customFormat="1" x14ac:dyDescent="0.25">
      <c r="F112" s="100"/>
    </row>
    <row r="113" spans="6:6" s="21" customFormat="1" x14ac:dyDescent="0.25">
      <c r="F113" s="100"/>
    </row>
    <row r="114" spans="6:6" s="21" customFormat="1" x14ac:dyDescent="0.25">
      <c r="F114" s="100"/>
    </row>
    <row r="115" spans="6:6" s="21" customFormat="1" x14ac:dyDescent="0.25">
      <c r="F115" s="100"/>
    </row>
    <row r="116" spans="6:6" s="21" customFormat="1" x14ac:dyDescent="0.25">
      <c r="F116" s="100"/>
    </row>
    <row r="117" spans="6:6" s="21" customFormat="1" x14ac:dyDescent="0.25">
      <c r="F117" s="100"/>
    </row>
    <row r="118" spans="6:6" s="21" customFormat="1" x14ac:dyDescent="0.25">
      <c r="F118" s="100"/>
    </row>
    <row r="119" spans="6:6" s="21" customFormat="1" x14ac:dyDescent="0.25">
      <c r="F119" s="100"/>
    </row>
    <row r="120" spans="6:6" s="21" customFormat="1" x14ac:dyDescent="0.25">
      <c r="F120" s="100"/>
    </row>
    <row r="121" spans="6:6" s="21" customFormat="1" x14ac:dyDescent="0.25">
      <c r="F121" s="100"/>
    </row>
    <row r="122" spans="6:6" s="21" customFormat="1" x14ac:dyDescent="0.25">
      <c r="F122" s="100"/>
    </row>
    <row r="123" spans="6:6" s="21" customFormat="1" x14ac:dyDescent="0.25">
      <c r="F123" s="100"/>
    </row>
    <row r="124" spans="6:6" s="21" customFormat="1" x14ac:dyDescent="0.25">
      <c r="F124" s="100"/>
    </row>
    <row r="125" spans="6:6" s="21" customFormat="1" x14ac:dyDescent="0.25">
      <c r="F125" s="100"/>
    </row>
    <row r="126" spans="6:6" s="21" customFormat="1" x14ac:dyDescent="0.25">
      <c r="F126" s="100"/>
    </row>
    <row r="127" spans="6:6" s="21" customFormat="1" x14ac:dyDescent="0.25">
      <c r="F127" s="100"/>
    </row>
    <row r="128" spans="6:6" s="21" customFormat="1" x14ac:dyDescent="0.25">
      <c r="F128" s="100"/>
    </row>
    <row r="129" spans="6:6" s="21" customFormat="1" x14ac:dyDescent="0.25">
      <c r="F129" s="100"/>
    </row>
    <row r="130" spans="6:6" s="21" customFormat="1" x14ac:dyDescent="0.25">
      <c r="F130" s="100"/>
    </row>
    <row r="131" spans="6:6" s="21" customFormat="1" x14ac:dyDescent="0.25">
      <c r="F131" s="100"/>
    </row>
    <row r="132" spans="6:6" s="21" customFormat="1" x14ac:dyDescent="0.25">
      <c r="F132" s="100"/>
    </row>
    <row r="133" spans="6:6" s="21" customFormat="1" x14ac:dyDescent="0.25">
      <c r="F133" s="100"/>
    </row>
    <row r="134" spans="6:6" s="21" customFormat="1" x14ac:dyDescent="0.25">
      <c r="F134" s="100"/>
    </row>
    <row r="135" spans="6:6" s="21" customFormat="1" x14ac:dyDescent="0.25">
      <c r="F135" s="100"/>
    </row>
    <row r="136" spans="6:6" s="21" customFormat="1" x14ac:dyDescent="0.25">
      <c r="F136" s="100"/>
    </row>
    <row r="137" spans="6:6" s="21" customFormat="1" x14ac:dyDescent="0.25">
      <c r="F137" s="100"/>
    </row>
    <row r="138" spans="6:6" s="21" customFormat="1" x14ac:dyDescent="0.25">
      <c r="F138" s="100"/>
    </row>
    <row r="139" spans="6:6" s="21" customFormat="1" x14ac:dyDescent="0.25">
      <c r="F139" s="100"/>
    </row>
    <row r="140" spans="6:6" s="21" customFormat="1" x14ac:dyDescent="0.25">
      <c r="F140" s="100"/>
    </row>
    <row r="141" spans="6:6" s="21" customFormat="1" x14ac:dyDescent="0.25">
      <c r="F141" s="100"/>
    </row>
    <row r="142" spans="6:6" s="21" customFormat="1" x14ac:dyDescent="0.25">
      <c r="F142" s="100"/>
    </row>
    <row r="143" spans="6:6" s="21" customFormat="1" x14ac:dyDescent="0.25">
      <c r="F143" s="100"/>
    </row>
    <row r="144" spans="6:6" s="21" customFormat="1" x14ac:dyDescent="0.25">
      <c r="F144" s="100"/>
    </row>
    <row r="145" spans="6:6" s="21" customFormat="1" x14ac:dyDescent="0.25">
      <c r="F145" s="100"/>
    </row>
    <row r="146" spans="6:6" s="21" customFormat="1" x14ac:dyDescent="0.25">
      <c r="F146" s="100"/>
    </row>
    <row r="147" spans="6:6" s="21" customFormat="1" x14ac:dyDescent="0.25">
      <c r="F147" s="100"/>
    </row>
    <row r="148" spans="6:6" s="21" customFormat="1" x14ac:dyDescent="0.25">
      <c r="F148" s="100"/>
    </row>
    <row r="149" spans="6:6" s="21" customFormat="1" x14ac:dyDescent="0.25">
      <c r="F149" s="100"/>
    </row>
    <row r="150" spans="6:6" s="21" customFormat="1" x14ac:dyDescent="0.25">
      <c r="F150" s="100"/>
    </row>
    <row r="151" spans="6:6" s="21" customFormat="1" x14ac:dyDescent="0.25">
      <c r="F151" s="100"/>
    </row>
    <row r="152" spans="6:6" s="21" customFormat="1" x14ac:dyDescent="0.25">
      <c r="F152" s="100"/>
    </row>
    <row r="153" spans="6:6" s="21" customFormat="1" x14ac:dyDescent="0.25">
      <c r="F153" s="100"/>
    </row>
    <row r="154" spans="6:6" s="21" customFormat="1" x14ac:dyDescent="0.25">
      <c r="F154" s="100"/>
    </row>
    <row r="155" spans="6:6" s="21" customFormat="1" x14ac:dyDescent="0.25">
      <c r="F155" s="100"/>
    </row>
    <row r="156" spans="6:6" s="21" customFormat="1" x14ac:dyDescent="0.25">
      <c r="F156" s="100"/>
    </row>
    <row r="157" spans="6:6" s="21" customFormat="1" x14ac:dyDescent="0.25">
      <c r="F157" s="100"/>
    </row>
    <row r="158" spans="6:6" s="21" customFormat="1" x14ac:dyDescent="0.25">
      <c r="F158" s="100"/>
    </row>
    <row r="159" spans="6:6" s="21" customFormat="1" x14ac:dyDescent="0.25">
      <c r="F159" s="100"/>
    </row>
    <row r="160" spans="6:6" s="21" customFormat="1" x14ac:dyDescent="0.25">
      <c r="F160" s="100"/>
    </row>
    <row r="161" spans="6:6" s="21" customFormat="1" x14ac:dyDescent="0.25">
      <c r="F161" s="100"/>
    </row>
    <row r="162" spans="6:6" s="21" customFormat="1" x14ac:dyDescent="0.25">
      <c r="F162" s="100"/>
    </row>
    <row r="163" spans="6:6" s="21" customFormat="1" x14ac:dyDescent="0.25">
      <c r="F163" s="100"/>
    </row>
    <row r="164" spans="6:6" s="21" customFormat="1" x14ac:dyDescent="0.25">
      <c r="F164" s="100"/>
    </row>
    <row r="165" spans="6:6" s="21" customFormat="1" x14ac:dyDescent="0.25">
      <c r="F165" s="100"/>
    </row>
    <row r="166" spans="6:6" s="21" customFormat="1" x14ac:dyDescent="0.25">
      <c r="F166" s="100"/>
    </row>
    <row r="167" spans="6:6" s="21" customFormat="1" x14ac:dyDescent="0.25">
      <c r="F167" s="100"/>
    </row>
    <row r="168" spans="6:6" s="21" customFormat="1" x14ac:dyDescent="0.25">
      <c r="F168" s="100"/>
    </row>
    <row r="169" spans="6:6" s="21" customFormat="1" x14ac:dyDescent="0.25">
      <c r="F169" s="100"/>
    </row>
    <row r="170" spans="6:6" s="21" customFormat="1" x14ac:dyDescent="0.25">
      <c r="F170" s="100"/>
    </row>
    <row r="171" spans="6:6" s="21" customFormat="1" x14ac:dyDescent="0.25">
      <c r="F171" s="100"/>
    </row>
    <row r="172" spans="6:6" s="21" customFormat="1" x14ac:dyDescent="0.25">
      <c r="F172" s="100"/>
    </row>
    <row r="173" spans="6:6" s="21" customFormat="1" x14ac:dyDescent="0.25">
      <c r="F173" s="100"/>
    </row>
    <row r="174" spans="6:6" s="21" customFormat="1" x14ac:dyDescent="0.25">
      <c r="F174" s="100"/>
    </row>
    <row r="175" spans="6:6" s="21" customFormat="1" x14ac:dyDescent="0.25">
      <c r="F175" s="100"/>
    </row>
    <row r="176" spans="6:6" s="21" customFormat="1" x14ac:dyDescent="0.25">
      <c r="F176" s="100"/>
    </row>
    <row r="177" spans="6:6" s="21" customFormat="1" x14ac:dyDescent="0.25">
      <c r="F177" s="100"/>
    </row>
    <row r="178" spans="6:6" s="21" customFormat="1" x14ac:dyDescent="0.25">
      <c r="F178" s="100"/>
    </row>
    <row r="179" spans="6:6" s="21" customFormat="1" x14ac:dyDescent="0.25">
      <c r="F179" s="100"/>
    </row>
    <row r="180" spans="6:6" s="21" customFormat="1" x14ac:dyDescent="0.25">
      <c r="F180" s="100"/>
    </row>
    <row r="181" spans="6:6" s="21" customFormat="1" x14ac:dyDescent="0.25">
      <c r="F181" s="100"/>
    </row>
    <row r="182" spans="6:6" s="21" customFormat="1" x14ac:dyDescent="0.25">
      <c r="F182" s="100"/>
    </row>
    <row r="183" spans="6:6" s="21" customFormat="1" x14ac:dyDescent="0.25">
      <c r="F183" s="100"/>
    </row>
    <row r="184" spans="6:6" s="21" customFormat="1" x14ac:dyDescent="0.25">
      <c r="F184" s="100"/>
    </row>
    <row r="185" spans="6:6" s="21" customFormat="1" x14ac:dyDescent="0.25">
      <c r="F185" s="100"/>
    </row>
    <row r="186" spans="6:6" s="21" customFormat="1" x14ac:dyDescent="0.25">
      <c r="F186" s="100"/>
    </row>
    <row r="187" spans="6:6" s="21" customFormat="1" x14ac:dyDescent="0.25">
      <c r="F187" s="100"/>
    </row>
    <row r="188" spans="6:6" s="21" customFormat="1" x14ac:dyDescent="0.25">
      <c r="F188" s="100"/>
    </row>
    <row r="189" spans="6:6" s="21" customFormat="1" x14ac:dyDescent="0.25">
      <c r="F189" s="100"/>
    </row>
    <row r="190" spans="6:6" s="21" customFormat="1" x14ac:dyDescent="0.25">
      <c r="F190" s="100"/>
    </row>
    <row r="191" spans="6:6" s="21" customFormat="1" x14ac:dyDescent="0.25">
      <c r="F191" s="100"/>
    </row>
    <row r="192" spans="6:6" s="21" customFormat="1" x14ac:dyDescent="0.25">
      <c r="F192" s="100"/>
    </row>
    <row r="193" spans="6:6" s="21" customFormat="1" x14ac:dyDescent="0.25">
      <c r="F193" s="100"/>
    </row>
    <row r="194" spans="6:6" s="21" customFormat="1" x14ac:dyDescent="0.25">
      <c r="F194" s="100"/>
    </row>
    <row r="195" spans="6:6" s="21" customFormat="1" x14ac:dyDescent="0.25">
      <c r="F195" s="100"/>
    </row>
  </sheetData>
  <mergeCells count="3">
    <mergeCell ref="A17:C17"/>
    <mergeCell ref="A49:C49"/>
    <mergeCell ref="A51:C51"/>
  </mergeCells>
  <printOptions horizontalCentered="1"/>
  <pageMargins left="0.23622047244094491" right="0.23622047244094491" top="0" bottom="0" header="0.31496062992125984" footer="0.31496062992125984"/>
  <pageSetup paperSize="9" scale="7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1"/>
  <sheetViews>
    <sheetView topLeftCell="A16" zoomScaleNormal="100" workbookViewId="0">
      <selection activeCell="G36" sqref="G36"/>
    </sheetView>
  </sheetViews>
  <sheetFormatPr defaultRowHeight="15" x14ac:dyDescent="0.25"/>
  <cols>
    <col min="1" max="2" width="11.28515625" style="48" customWidth="1"/>
    <col min="3" max="3" width="52.28515625" style="48" customWidth="1"/>
    <col min="4" max="4" width="38.85546875" style="48" customWidth="1"/>
    <col min="5" max="5" width="16.42578125" style="48" customWidth="1"/>
    <col min="6" max="6" width="16.42578125" style="163" customWidth="1"/>
    <col min="7" max="7" width="16.42578125" style="48" customWidth="1"/>
    <col min="8" max="9" width="10.7109375" style="48" customWidth="1"/>
    <col min="10" max="16384" width="9.140625" style="48"/>
  </cols>
  <sheetData>
    <row r="1" spans="1:10" ht="18" x14ac:dyDescent="0.25">
      <c r="C1" s="630"/>
    </row>
    <row r="2" spans="1:10" ht="15.75" x14ac:dyDescent="0.25">
      <c r="A2" s="631" t="s">
        <v>27</v>
      </c>
    </row>
    <row r="3" spans="1:10" ht="16.5" thickBot="1" x14ac:dyDescent="0.3">
      <c r="A3" s="537"/>
      <c r="B3" s="535"/>
      <c r="C3" s="537"/>
      <c r="D3" s="537"/>
      <c r="F3" s="632"/>
      <c r="I3" s="538" t="s">
        <v>516</v>
      </c>
    </row>
    <row r="4" spans="1:10" x14ac:dyDescent="0.25">
      <c r="A4" s="633" t="s">
        <v>1</v>
      </c>
      <c r="B4" s="170" t="s">
        <v>2</v>
      </c>
      <c r="C4" s="542" t="s">
        <v>3</v>
      </c>
      <c r="D4" s="170"/>
      <c r="E4" s="170" t="s">
        <v>4</v>
      </c>
      <c r="F4" s="170" t="s">
        <v>326</v>
      </c>
      <c r="G4" s="542" t="s">
        <v>320</v>
      </c>
      <c r="H4" s="170" t="s">
        <v>322</v>
      </c>
      <c r="I4" s="543" t="s">
        <v>322</v>
      </c>
      <c r="J4" s="544"/>
    </row>
    <row r="5" spans="1:10" x14ac:dyDescent="0.25">
      <c r="A5" s="634" t="s">
        <v>5</v>
      </c>
      <c r="B5" s="177" t="s">
        <v>6</v>
      </c>
      <c r="C5" s="548" t="s">
        <v>7</v>
      </c>
      <c r="D5" s="547" t="s">
        <v>8</v>
      </c>
      <c r="E5" s="177" t="s">
        <v>325</v>
      </c>
      <c r="F5" s="177" t="s">
        <v>327</v>
      </c>
      <c r="G5" s="548" t="s">
        <v>321</v>
      </c>
      <c r="H5" s="177" t="s">
        <v>323</v>
      </c>
      <c r="I5" s="549" t="s">
        <v>324</v>
      </c>
    </row>
    <row r="6" spans="1:10" ht="15.75" thickBot="1" x14ac:dyDescent="0.3">
      <c r="A6" s="635" t="s">
        <v>9</v>
      </c>
      <c r="B6" s="184" t="s">
        <v>10</v>
      </c>
      <c r="C6" s="636"/>
      <c r="D6" s="637"/>
      <c r="E6" s="177" t="s">
        <v>292</v>
      </c>
      <c r="F6" s="177" t="str">
        <f>[1]Kap.01!F12</f>
        <v>k 30.6.2019</v>
      </c>
      <c r="G6" s="550">
        <f>[1]Kap.01!G12</f>
        <v>43646</v>
      </c>
      <c r="H6" s="551" t="s">
        <v>235</v>
      </c>
      <c r="I6" s="549" t="s">
        <v>235</v>
      </c>
    </row>
    <row r="7" spans="1:10" ht="15.75" x14ac:dyDescent="0.25">
      <c r="A7" s="638" t="s">
        <v>11</v>
      </c>
      <c r="B7" s="639"/>
      <c r="C7" s="640"/>
      <c r="D7" s="641"/>
      <c r="E7" s="642"/>
      <c r="F7" s="557"/>
      <c r="G7" s="558"/>
      <c r="H7" s="643"/>
      <c r="I7" s="644"/>
    </row>
    <row r="8" spans="1:10" x14ac:dyDescent="0.25">
      <c r="A8" s="645" t="s">
        <v>28</v>
      </c>
      <c r="B8" s="646" t="s">
        <v>29</v>
      </c>
      <c r="C8" s="647"/>
      <c r="D8" s="648"/>
      <c r="E8" s="563">
        <f>SUM(E9+E10+E11+E12+E13)</f>
        <v>8400</v>
      </c>
      <c r="F8" s="564">
        <f t="shared" ref="F8:G8" si="0">SUM(F9+F10+F11+F12+F13)</f>
        <v>5100</v>
      </c>
      <c r="G8" s="563">
        <f t="shared" si="0"/>
        <v>2891.489</v>
      </c>
      <c r="H8" s="565">
        <f>G8/E8*100</f>
        <v>34.422488095238094</v>
      </c>
      <c r="I8" s="566">
        <f>G8/F8*100</f>
        <v>56.695862745098033</v>
      </c>
    </row>
    <row r="9" spans="1:10" x14ac:dyDescent="0.25">
      <c r="A9" s="650"/>
      <c r="B9" s="651"/>
      <c r="C9" s="652" t="s">
        <v>30</v>
      </c>
      <c r="D9" s="653" t="s">
        <v>31</v>
      </c>
      <c r="E9" s="53">
        <v>7000</v>
      </c>
      <c r="F9" s="574">
        <v>2700</v>
      </c>
      <c r="G9" s="575">
        <v>2758</v>
      </c>
      <c r="H9" s="576">
        <f t="shared" ref="H9:H14" si="1">G9/E9*100</f>
        <v>39.4</v>
      </c>
      <c r="I9" s="577">
        <f t="shared" ref="I9:I14" si="2">G9/F9*100</f>
        <v>102.14814814814814</v>
      </c>
    </row>
    <row r="10" spans="1:10" x14ac:dyDescent="0.25">
      <c r="A10" s="654"/>
      <c r="B10" s="655"/>
      <c r="C10" s="656" t="s">
        <v>23</v>
      </c>
      <c r="D10" s="653" t="s">
        <v>32</v>
      </c>
      <c r="E10" s="53">
        <v>200</v>
      </c>
      <c r="F10" s="574">
        <v>179.4</v>
      </c>
      <c r="G10" s="575">
        <v>39</v>
      </c>
      <c r="H10" s="576">
        <f t="shared" si="1"/>
        <v>19.5</v>
      </c>
      <c r="I10" s="577">
        <f t="shared" si="2"/>
        <v>21.739130434782609</v>
      </c>
    </row>
    <row r="11" spans="1:10" ht="15" customHeight="1" x14ac:dyDescent="0.25">
      <c r="A11" s="650"/>
      <c r="B11" s="655"/>
      <c r="C11" s="652" t="s">
        <v>281</v>
      </c>
      <c r="D11" s="657" t="s">
        <v>32</v>
      </c>
      <c r="E11" s="658">
        <v>1000</v>
      </c>
      <c r="F11" s="574">
        <v>2000</v>
      </c>
      <c r="G11" s="575">
        <v>41.25</v>
      </c>
      <c r="H11" s="576">
        <f t="shared" si="1"/>
        <v>4.125</v>
      </c>
      <c r="I11" s="577">
        <f t="shared" si="2"/>
        <v>2.0625</v>
      </c>
    </row>
    <row r="12" spans="1:10" ht="15" customHeight="1" x14ac:dyDescent="0.25">
      <c r="A12" s="650"/>
      <c r="B12" s="659"/>
      <c r="C12" s="660" t="s">
        <v>298</v>
      </c>
      <c r="D12" s="657" t="s">
        <v>32</v>
      </c>
      <c r="E12" s="901">
        <v>200</v>
      </c>
      <c r="F12" s="574">
        <v>200</v>
      </c>
      <c r="G12" s="575">
        <v>32.719000000000001</v>
      </c>
      <c r="H12" s="576">
        <f t="shared" si="1"/>
        <v>16.359500000000001</v>
      </c>
      <c r="I12" s="577">
        <f t="shared" si="2"/>
        <v>16.359500000000001</v>
      </c>
    </row>
    <row r="13" spans="1:10" ht="15" customHeight="1" thickBot="1" x14ac:dyDescent="0.3">
      <c r="A13" s="650"/>
      <c r="B13" s="659"/>
      <c r="C13" s="660" t="s">
        <v>451</v>
      </c>
      <c r="D13" s="657" t="s">
        <v>453</v>
      </c>
      <c r="E13" s="901">
        <v>0</v>
      </c>
      <c r="F13" s="574">
        <v>20.6</v>
      </c>
      <c r="G13" s="575">
        <v>20.52</v>
      </c>
      <c r="H13" s="576">
        <v>0</v>
      </c>
      <c r="I13" s="577">
        <f t="shared" si="2"/>
        <v>99.611650485436883</v>
      </c>
    </row>
    <row r="14" spans="1:10" ht="16.5" customHeight="1" thickBot="1" x14ac:dyDescent="0.3">
      <c r="A14" s="1095" t="s">
        <v>16</v>
      </c>
      <c r="B14" s="1096"/>
      <c r="C14" s="1097"/>
      <c r="D14" s="661"/>
      <c r="E14" s="662">
        <f>E8</f>
        <v>8400</v>
      </c>
      <c r="F14" s="663">
        <f t="shared" ref="F14:G14" si="3">F8</f>
        <v>5100</v>
      </c>
      <c r="G14" s="662">
        <f t="shared" si="3"/>
        <v>2891.489</v>
      </c>
      <c r="H14" s="664">
        <f t="shared" si="1"/>
        <v>34.422488095238094</v>
      </c>
      <c r="I14" s="665">
        <f t="shared" si="2"/>
        <v>56.695862745098033</v>
      </c>
    </row>
    <row r="15" spans="1:10" ht="15" customHeight="1" x14ac:dyDescent="0.25">
      <c r="A15" s="666"/>
      <c r="B15" s="667"/>
      <c r="C15" s="667"/>
      <c r="D15" s="668"/>
      <c r="E15" s="669"/>
      <c r="F15" s="669"/>
      <c r="G15" s="670"/>
      <c r="H15" s="671"/>
      <c r="I15" s="672"/>
    </row>
    <row r="16" spans="1:10" ht="15" customHeight="1" thickBot="1" x14ac:dyDescent="0.3">
      <c r="A16" s="673"/>
      <c r="B16" s="674"/>
      <c r="C16" s="674"/>
      <c r="D16" s="675"/>
      <c r="E16" s="676"/>
      <c r="F16" s="676"/>
      <c r="G16" s="677"/>
      <c r="H16" s="678"/>
      <c r="I16" s="679"/>
    </row>
    <row r="17" spans="1:9" x14ac:dyDescent="0.25">
      <c r="A17" s="633" t="s">
        <v>1</v>
      </c>
      <c r="B17" s="170" t="s">
        <v>2</v>
      </c>
      <c r="C17" s="542" t="s">
        <v>3</v>
      </c>
      <c r="D17" s="170"/>
      <c r="E17" s="170" t="s">
        <v>4</v>
      </c>
      <c r="F17" s="170" t="s">
        <v>326</v>
      </c>
      <c r="G17" s="542" t="s">
        <v>320</v>
      </c>
      <c r="H17" s="170" t="s">
        <v>322</v>
      </c>
      <c r="I17" s="543" t="s">
        <v>322</v>
      </c>
    </row>
    <row r="18" spans="1:9" x14ac:dyDescent="0.25">
      <c r="A18" s="634" t="s">
        <v>5</v>
      </c>
      <c r="B18" s="177" t="s">
        <v>6</v>
      </c>
      <c r="C18" s="548" t="s">
        <v>7</v>
      </c>
      <c r="D18" s="547" t="s">
        <v>8</v>
      </c>
      <c r="E18" s="177" t="s">
        <v>325</v>
      </c>
      <c r="F18" s="177" t="s">
        <v>327</v>
      </c>
      <c r="G18" s="548" t="s">
        <v>321</v>
      </c>
      <c r="H18" s="177" t="s">
        <v>323</v>
      </c>
      <c r="I18" s="549" t="s">
        <v>324</v>
      </c>
    </row>
    <row r="19" spans="1:9" ht="15.75" thickBot="1" x14ac:dyDescent="0.3">
      <c r="A19" s="635" t="s">
        <v>9</v>
      </c>
      <c r="B19" s="184" t="s">
        <v>10</v>
      </c>
      <c r="C19" s="636"/>
      <c r="D19" s="637"/>
      <c r="E19" s="177" t="s">
        <v>292</v>
      </c>
      <c r="F19" s="177" t="str">
        <f>[1]Kap.01!F12</f>
        <v>k 30.6.2019</v>
      </c>
      <c r="G19" s="550">
        <f>[1]Kap.01!G12</f>
        <v>43646</v>
      </c>
      <c r="H19" s="551" t="s">
        <v>235</v>
      </c>
      <c r="I19" s="549" t="s">
        <v>235</v>
      </c>
    </row>
    <row r="20" spans="1:9" ht="15.75" x14ac:dyDescent="0.25">
      <c r="A20" s="638" t="s">
        <v>338</v>
      </c>
      <c r="B20" s="639"/>
      <c r="C20" s="640"/>
      <c r="D20" s="641"/>
      <c r="E20" s="642"/>
      <c r="F20" s="557"/>
      <c r="G20" s="558"/>
      <c r="H20" s="643"/>
      <c r="I20" s="644"/>
    </row>
    <row r="21" spans="1:9" x14ac:dyDescent="0.25">
      <c r="A21" s="680" t="s">
        <v>365</v>
      </c>
      <c r="B21" s="681" t="s">
        <v>366</v>
      </c>
      <c r="C21" s="681"/>
      <c r="D21" s="681"/>
      <c r="E21" s="682">
        <f>SUM(E22)</f>
        <v>4270</v>
      </c>
      <c r="F21" s="683">
        <f t="shared" ref="F21:G21" si="4">SUM(F22)</f>
        <v>13770</v>
      </c>
      <c r="G21" s="682">
        <f t="shared" si="4"/>
        <v>9876</v>
      </c>
      <c r="H21" s="615">
        <f>G21/E21*100</f>
        <v>231.28805620608901</v>
      </c>
      <c r="I21" s="616">
        <f>G21/F21*100</f>
        <v>71.721132897603496</v>
      </c>
    </row>
    <row r="22" spans="1:9" x14ac:dyDescent="0.25">
      <c r="A22" s="617"/>
      <c r="B22" s="618"/>
      <c r="C22" s="619" t="s">
        <v>367</v>
      </c>
      <c r="D22" s="653" t="s">
        <v>32</v>
      </c>
      <c r="E22" s="620">
        <v>4270</v>
      </c>
      <c r="F22" s="621">
        <v>13770</v>
      </c>
      <c r="G22" s="684">
        <v>9876</v>
      </c>
      <c r="H22" s="623">
        <f>G22/E22*100</f>
        <v>231.28805620608901</v>
      </c>
      <c r="I22" s="624">
        <f>G22/F22*100</f>
        <v>71.721132897603496</v>
      </c>
    </row>
    <row r="23" spans="1:9" x14ac:dyDescent="0.25">
      <c r="A23" s="680" t="s">
        <v>28</v>
      </c>
      <c r="B23" s="681" t="s">
        <v>29</v>
      </c>
      <c r="C23" s="681"/>
      <c r="D23" s="681"/>
      <c r="E23" s="682">
        <f>SUM(E24:E28)</f>
        <v>8783</v>
      </c>
      <c r="F23" s="683">
        <f t="shared" ref="F23:G23" si="5">SUM(F24:F28)</f>
        <v>8783</v>
      </c>
      <c r="G23" s="682">
        <f t="shared" si="5"/>
        <v>155</v>
      </c>
      <c r="H23" s="615">
        <f>G23/E23*100</f>
        <v>1.7647728566549015</v>
      </c>
      <c r="I23" s="616">
        <f>G23/F23*100</f>
        <v>1.7647728566549015</v>
      </c>
    </row>
    <row r="24" spans="1:9" s="692" customFormat="1" x14ac:dyDescent="0.25">
      <c r="A24" s="685"/>
      <c r="B24" s="686"/>
      <c r="C24" s="660" t="s">
        <v>368</v>
      </c>
      <c r="D24" s="687" t="s">
        <v>32</v>
      </c>
      <c r="E24" s="688">
        <v>850</v>
      </c>
      <c r="F24" s="689">
        <v>850</v>
      </c>
      <c r="G24" s="684">
        <v>155</v>
      </c>
      <c r="H24" s="690">
        <f t="shared" ref="H24:H29" si="6">G24/E24*100</f>
        <v>18.235294117647058</v>
      </c>
      <c r="I24" s="691">
        <f t="shared" ref="I24:I29" si="7">G24/F24*100</f>
        <v>18.235294117647058</v>
      </c>
    </row>
    <row r="25" spans="1:9" s="692" customFormat="1" x14ac:dyDescent="0.25">
      <c r="A25" s="685"/>
      <c r="B25" s="686"/>
      <c r="C25" s="660" t="s">
        <v>369</v>
      </c>
      <c r="D25" s="687" t="s">
        <v>32</v>
      </c>
      <c r="E25" s="688">
        <v>100</v>
      </c>
      <c r="F25" s="689">
        <v>100</v>
      </c>
      <c r="G25" s="684">
        <v>0</v>
      </c>
      <c r="H25" s="690">
        <f t="shared" si="6"/>
        <v>0</v>
      </c>
      <c r="I25" s="691">
        <f t="shared" si="7"/>
        <v>0</v>
      </c>
    </row>
    <row r="26" spans="1:9" s="692" customFormat="1" ht="26.25" x14ac:dyDescent="0.25">
      <c r="A26" s="693"/>
      <c r="B26" s="694"/>
      <c r="C26" s="660" t="s">
        <v>370</v>
      </c>
      <c r="D26" s="1068" t="s">
        <v>32</v>
      </c>
      <c r="E26" s="688">
        <v>730</v>
      </c>
      <c r="F26" s="689">
        <v>730</v>
      </c>
      <c r="G26" s="684">
        <v>0</v>
      </c>
      <c r="H26" s="690">
        <f t="shared" si="6"/>
        <v>0</v>
      </c>
      <c r="I26" s="691">
        <f t="shared" si="7"/>
        <v>0</v>
      </c>
    </row>
    <row r="27" spans="1:9" s="692" customFormat="1" ht="26.25" x14ac:dyDescent="0.25">
      <c r="A27" s="693"/>
      <c r="B27" s="694"/>
      <c r="C27" s="660" t="s">
        <v>371</v>
      </c>
      <c r="D27" s="1068" t="s">
        <v>32</v>
      </c>
      <c r="E27" s="688">
        <v>1200</v>
      </c>
      <c r="F27" s="689">
        <v>1200</v>
      </c>
      <c r="G27" s="684">
        <v>0</v>
      </c>
      <c r="H27" s="690">
        <f t="shared" si="6"/>
        <v>0</v>
      </c>
      <c r="I27" s="691">
        <f t="shared" si="7"/>
        <v>0</v>
      </c>
    </row>
    <row r="28" spans="1:9" s="692" customFormat="1" ht="27" thickBot="1" x14ac:dyDescent="0.3">
      <c r="A28" s="693"/>
      <c r="B28" s="694"/>
      <c r="C28" s="660" t="s">
        <v>372</v>
      </c>
      <c r="D28" s="1068" t="s">
        <v>32</v>
      </c>
      <c r="E28" s="688">
        <v>5903</v>
      </c>
      <c r="F28" s="689">
        <v>5903</v>
      </c>
      <c r="G28" s="684">
        <v>0</v>
      </c>
      <c r="H28" s="690">
        <f t="shared" si="6"/>
        <v>0</v>
      </c>
      <c r="I28" s="691">
        <f t="shared" si="7"/>
        <v>0</v>
      </c>
    </row>
    <row r="29" spans="1:9" ht="17.25" customHeight="1" thickBot="1" x14ac:dyDescent="0.3">
      <c r="A29" s="1095" t="s">
        <v>416</v>
      </c>
      <c r="B29" s="1096"/>
      <c r="C29" s="1097"/>
      <c r="D29" s="661"/>
      <c r="E29" s="662">
        <f>E21+E23</f>
        <v>13053</v>
      </c>
      <c r="F29" s="663">
        <f t="shared" ref="F29:G29" si="8">F21+F23</f>
        <v>22553</v>
      </c>
      <c r="G29" s="662">
        <f t="shared" si="8"/>
        <v>10031</v>
      </c>
      <c r="H29" s="664">
        <f t="shared" si="6"/>
        <v>76.84823412242396</v>
      </c>
      <c r="I29" s="665">
        <f t="shared" si="7"/>
        <v>44.477453110450938</v>
      </c>
    </row>
    <row r="30" spans="1:9" ht="15.75" thickBot="1" x14ac:dyDescent="0.3"/>
    <row r="31" spans="1:9" ht="16.5" thickBot="1" x14ac:dyDescent="0.3">
      <c r="A31" s="1095" t="s">
        <v>426</v>
      </c>
      <c r="B31" s="1096"/>
      <c r="C31" s="1097"/>
      <c r="D31" s="661"/>
      <c r="E31" s="662">
        <f>E14+E29</f>
        <v>21453</v>
      </c>
      <c r="F31" s="663">
        <f t="shared" ref="F31" si="9">F14+F29</f>
        <v>27653</v>
      </c>
      <c r="G31" s="662">
        <f>G14+G29</f>
        <v>12922.489</v>
      </c>
      <c r="H31" s="664">
        <f t="shared" ref="H31" si="10">G31/E31*100</f>
        <v>60.236279308255256</v>
      </c>
      <c r="I31" s="665">
        <f t="shared" ref="I31" si="11">G31/F31*100</f>
        <v>46.730875492713267</v>
      </c>
    </row>
  </sheetData>
  <mergeCells count="3">
    <mergeCell ref="A14:C14"/>
    <mergeCell ref="A29:C29"/>
    <mergeCell ref="A31:C31"/>
  </mergeCells>
  <printOptions horizontalCentered="1"/>
  <pageMargins left="0.43307086614173229" right="0" top="0.11811023622047245" bottom="0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49"/>
  <sheetViews>
    <sheetView zoomScaleNormal="100" workbookViewId="0">
      <selection sqref="A1:J231"/>
    </sheetView>
  </sheetViews>
  <sheetFormatPr defaultRowHeight="15" x14ac:dyDescent="0.25"/>
  <cols>
    <col min="1" max="2" width="11.28515625" style="21" customWidth="1"/>
    <col min="3" max="3" width="52.28515625" style="21" customWidth="1"/>
    <col min="4" max="4" width="37.7109375" style="21" customWidth="1"/>
    <col min="5" max="5" width="16.42578125" style="21" customWidth="1"/>
    <col min="6" max="6" width="16.42578125" style="100" customWidth="1"/>
    <col min="7" max="7" width="16.42578125" style="102" customWidth="1"/>
    <col min="8" max="9" width="10.7109375" style="104" customWidth="1"/>
    <col min="10" max="12" width="9.140625" style="21"/>
    <col min="13" max="13" width="9.140625" style="988"/>
    <col min="14" max="16384" width="9.140625" style="21"/>
  </cols>
  <sheetData>
    <row r="2" spans="1:9" ht="15.75" x14ac:dyDescent="0.25">
      <c r="A2" s="67" t="s">
        <v>33</v>
      </c>
      <c r="B2" s="68"/>
      <c r="C2" s="68"/>
      <c r="D2" s="68"/>
    </row>
    <row r="3" spans="1:9" ht="16.5" thickBot="1" x14ac:dyDescent="0.3">
      <c r="A3" s="69"/>
      <c r="B3" s="67"/>
      <c r="C3" s="69"/>
      <c r="D3" s="69"/>
      <c r="F3" s="101"/>
      <c r="I3" s="105" t="s">
        <v>515</v>
      </c>
    </row>
    <row r="4" spans="1:9" x14ac:dyDescent="0.25">
      <c r="A4" s="9" t="s">
        <v>1</v>
      </c>
      <c r="B4" s="10" t="s">
        <v>2</v>
      </c>
      <c r="C4" s="11" t="s">
        <v>3</v>
      </c>
      <c r="D4" s="12"/>
      <c r="E4" s="24" t="s">
        <v>4</v>
      </c>
      <c r="F4" s="96" t="s">
        <v>326</v>
      </c>
      <c r="G4" s="110" t="s">
        <v>320</v>
      </c>
      <c r="H4" s="106" t="s">
        <v>322</v>
      </c>
      <c r="I4" s="107" t="s">
        <v>322</v>
      </c>
    </row>
    <row r="5" spans="1:9" x14ac:dyDescent="0.25">
      <c r="A5" s="13" t="s">
        <v>5</v>
      </c>
      <c r="B5" s="14" t="s">
        <v>6</v>
      </c>
      <c r="C5" s="15" t="s">
        <v>7</v>
      </c>
      <c r="D5" s="16" t="s">
        <v>8</v>
      </c>
      <c r="E5" s="25" t="s">
        <v>325</v>
      </c>
      <c r="F5" s="97" t="s">
        <v>327</v>
      </c>
      <c r="G5" s="111" t="s">
        <v>321</v>
      </c>
      <c r="H5" s="108" t="s">
        <v>323</v>
      </c>
      <c r="I5" s="109" t="s">
        <v>324</v>
      </c>
    </row>
    <row r="6" spans="1:9" ht="15.75" thickBot="1" x14ac:dyDescent="0.3">
      <c r="A6" s="17" t="s">
        <v>9</v>
      </c>
      <c r="B6" s="20" t="s">
        <v>10</v>
      </c>
      <c r="C6" s="18"/>
      <c r="D6" s="19"/>
      <c r="E6" s="25" t="s">
        <v>292</v>
      </c>
      <c r="F6" s="551">
        <v>43646</v>
      </c>
      <c r="G6" s="551">
        <v>43646</v>
      </c>
      <c r="H6" s="108" t="s">
        <v>235</v>
      </c>
      <c r="I6" s="109" t="s">
        <v>235</v>
      </c>
    </row>
    <row r="7" spans="1:9" ht="16.5" customHeight="1" x14ac:dyDescent="0.25">
      <c r="A7" s="133" t="s">
        <v>11</v>
      </c>
      <c r="B7" s="134"/>
      <c r="C7" s="134"/>
      <c r="D7" s="135"/>
      <c r="E7" s="93"/>
      <c r="F7" s="95"/>
      <c r="G7" s="103"/>
      <c r="H7" s="98"/>
      <c r="I7" s="99"/>
    </row>
    <row r="8" spans="1:9" ht="14.1" customHeight="1" x14ac:dyDescent="0.25">
      <c r="A8" s="355" t="s">
        <v>34</v>
      </c>
      <c r="B8" s="784" t="s">
        <v>35</v>
      </c>
      <c r="C8" s="40"/>
      <c r="D8" s="785"/>
      <c r="E8" s="242">
        <f>E9+E74+E145+E149+E152</f>
        <v>180728</v>
      </c>
      <c r="F8" s="380">
        <f>F9+F74+F145+F149+F152</f>
        <v>243232.2</v>
      </c>
      <c r="G8" s="242">
        <f>G9+G74+G145+G149+G152</f>
        <v>96045.864880000008</v>
      </c>
      <c r="H8" s="211">
        <f>G8/E8*100</f>
        <v>53.143876366694712</v>
      </c>
      <c r="I8" s="212">
        <f>G8/F8*100</f>
        <v>39.487314952543286</v>
      </c>
    </row>
    <row r="9" spans="1:9" ht="14.1" customHeight="1" x14ac:dyDescent="0.25">
      <c r="A9" s="786"/>
      <c r="B9" s="787"/>
      <c r="C9" s="788" t="s">
        <v>36</v>
      </c>
      <c r="D9" s="789"/>
      <c r="E9" s="1013">
        <f>E10+E14+E17+E20+E23+E26+E29+E32+E35+E39+E42+E45+E48+E57+E60+E64+E67+E71</f>
        <v>31751</v>
      </c>
      <c r="F9" s="1014">
        <f>F10+F14+F17+F20+F23+F26+F29+F32+F35+F39+F42+F45+F48+F57+F60+F64+F67+F71</f>
        <v>44573.8</v>
      </c>
      <c r="G9" s="1013">
        <f>G10+G14+G17+G20+G23+G26+G29+G32+G35+G39+G42+G45+G48+G57+G60+G64+G67+G71</f>
        <v>16188</v>
      </c>
      <c r="H9" s="211">
        <f t="shared" ref="H9:H50" si="0">G9/E9*100</f>
        <v>50.984220969418281</v>
      </c>
      <c r="I9" s="212">
        <f t="shared" ref="I9:I50" si="1">G9/F9*100</f>
        <v>36.317298502707871</v>
      </c>
    </row>
    <row r="10" spans="1:9" ht="14.1" customHeight="1" x14ac:dyDescent="0.25">
      <c r="A10" s="31"/>
      <c r="B10" s="790" t="s">
        <v>37</v>
      </c>
      <c r="C10" s="791" t="s">
        <v>266</v>
      </c>
      <c r="D10" s="360" t="s">
        <v>38</v>
      </c>
      <c r="E10" s="792">
        <v>4415</v>
      </c>
      <c r="F10" s="793">
        <f>4415+898.2</f>
        <v>5313.2</v>
      </c>
      <c r="G10" s="206">
        <v>2207.5</v>
      </c>
      <c r="H10" s="207">
        <f t="shared" si="0"/>
        <v>50</v>
      </c>
      <c r="I10" s="208">
        <f t="shared" si="1"/>
        <v>41.54746668674246</v>
      </c>
    </row>
    <row r="11" spans="1:9" ht="14.1" customHeight="1" x14ac:dyDescent="0.25">
      <c r="A11" s="31"/>
      <c r="B11" s="790"/>
      <c r="C11" s="794" t="s">
        <v>267</v>
      </c>
      <c r="D11" s="360"/>
      <c r="E11" s="795">
        <v>1494</v>
      </c>
      <c r="F11" s="223">
        <v>1494</v>
      </c>
      <c r="G11" s="224">
        <v>747</v>
      </c>
      <c r="H11" s="225">
        <f t="shared" si="0"/>
        <v>50</v>
      </c>
      <c r="I11" s="226">
        <f t="shared" si="1"/>
        <v>50</v>
      </c>
    </row>
    <row r="12" spans="1:9" ht="14.1" customHeight="1" x14ac:dyDescent="0.25">
      <c r="A12" s="31"/>
      <c r="B12" s="790"/>
      <c r="C12" s="794" t="s">
        <v>254</v>
      </c>
      <c r="D12" s="360"/>
      <c r="E12" s="795">
        <v>1800</v>
      </c>
      <c r="F12" s="223">
        <v>1800</v>
      </c>
      <c r="G12" s="224">
        <v>900</v>
      </c>
      <c r="H12" s="225">
        <f t="shared" si="0"/>
        <v>50</v>
      </c>
      <c r="I12" s="226">
        <f t="shared" si="1"/>
        <v>50</v>
      </c>
    </row>
    <row r="13" spans="1:9" ht="14.1" customHeight="1" x14ac:dyDescent="0.25">
      <c r="A13" s="31"/>
      <c r="B13" s="790"/>
      <c r="C13" s="794" t="s">
        <v>271</v>
      </c>
      <c r="D13" s="360"/>
      <c r="E13" s="795">
        <v>171</v>
      </c>
      <c r="F13" s="223">
        <v>171</v>
      </c>
      <c r="G13" s="224">
        <v>86</v>
      </c>
      <c r="H13" s="225">
        <f t="shared" si="0"/>
        <v>50.292397660818708</v>
      </c>
      <c r="I13" s="226">
        <f t="shared" si="1"/>
        <v>50.292397660818708</v>
      </c>
    </row>
    <row r="14" spans="1:9" ht="14.1" customHeight="1" x14ac:dyDescent="0.25">
      <c r="A14" s="31"/>
      <c r="B14" s="790" t="s">
        <v>39</v>
      </c>
      <c r="C14" s="796" t="s">
        <v>40</v>
      </c>
      <c r="D14" s="360" t="s">
        <v>38</v>
      </c>
      <c r="E14" s="797">
        <v>1318</v>
      </c>
      <c r="F14" s="205">
        <f>1318+622.7</f>
        <v>1940.7</v>
      </c>
      <c r="G14" s="206">
        <v>658</v>
      </c>
      <c r="H14" s="207">
        <f t="shared" si="0"/>
        <v>49.92412746585736</v>
      </c>
      <c r="I14" s="208">
        <f t="shared" si="1"/>
        <v>33.905291904982739</v>
      </c>
    </row>
    <row r="15" spans="1:9" ht="14.1" customHeight="1" x14ac:dyDescent="0.25">
      <c r="A15" s="31"/>
      <c r="B15" s="790"/>
      <c r="C15" s="794" t="s">
        <v>267</v>
      </c>
      <c r="D15" s="360"/>
      <c r="E15" s="798">
        <v>708</v>
      </c>
      <c r="F15" s="227">
        <v>708</v>
      </c>
      <c r="G15" s="224">
        <v>354</v>
      </c>
      <c r="H15" s="225">
        <f t="shared" si="0"/>
        <v>50</v>
      </c>
      <c r="I15" s="226">
        <f t="shared" si="1"/>
        <v>50</v>
      </c>
    </row>
    <row r="16" spans="1:9" ht="14.1" customHeight="1" x14ac:dyDescent="0.25">
      <c r="A16" s="31"/>
      <c r="B16" s="790"/>
      <c r="C16" s="794" t="s">
        <v>271</v>
      </c>
      <c r="D16" s="360"/>
      <c r="E16" s="798">
        <v>82</v>
      </c>
      <c r="F16" s="227">
        <v>82</v>
      </c>
      <c r="G16" s="224">
        <v>41</v>
      </c>
      <c r="H16" s="225">
        <f t="shared" si="0"/>
        <v>50</v>
      </c>
      <c r="I16" s="226">
        <f t="shared" si="1"/>
        <v>50</v>
      </c>
    </row>
    <row r="17" spans="1:9" ht="14.1" customHeight="1" x14ac:dyDescent="0.25">
      <c r="A17" s="31"/>
      <c r="B17" s="790" t="s">
        <v>41</v>
      </c>
      <c r="C17" s="799" t="s">
        <v>42</v>
      </c>
      <c r="D17" s="360" t="s">
        <v>38</v>
      </c>
      <c r="E17" s="797">
        <v>1818</v>
      </c>
      <c r="F17" s="205">
        <f>1818+988.4</f>
        <v>2806.4</v>
      </c>
      <c r="G17" s="206">
        <v>909</v>
      </c>
      <c r="H17" s="207">
        <f t="shared" si="0"/>
        <v>50</v>
      </c>
      <c r="I17" s="208">
        <f t="shared" si="1"/>
        <v>32.390250855188143</v>
      </c>
    </row>
    <row r="18" spans="1:9" ht="14.1" customHeight="1" x14ac:dyDescent="0.25">
      <c r="A18" s="31"/>
      <c r="B18" s="790"/>
      <c r="C18" s="794" t="s">
        <v>267</v>
      </c>
      <c r="D18" s="360"/>
      <c r="E18" s="798">
        <v>865</v>
      </c>
      <c r="F18" s="227">
        <v>865</v>
      </c>
      <c r="G18" s="224">
        <v>433</v>
      </c>
      <c r="H18" s="225">
        <f t="shared" si="0"/>
        <v>50.057803468208093</v>
      </c>
      <c r="I18" s="226">
        <f t="shared" si="1"/>
        <v>50.057803468208093</v>
      </c>
    </row>
    <row r="19" spans="1:9" ht="14.1" customHeight="1" x14ac:dyDescent="0.25">
      <c r="A19" s="31"/>
      <c r="B19" s="790"/>
      <c r="C19" s="794" t="s">
        <v>271</v>
      </c>
      <c r="D19" s="360"/>
      <c r="E19" s="798">
        <v>109</v>
      </c>
      <c r="F19" s="227">
        <v>109</v>
      </c>
      <c r="G19" s="224">
        <v>55</v>
      </c>
      <c r="H19" s="225">
        <f t="shared" si="0"/>
        <v>50.458715596330272</v>
      </c>
      <c r="I19" s="226">
        <f t="shared" si="1"/>
        <v>50.458715596330272</v>
      </c>
    </row>
    <row r="20" spans="1:9" ht="14.1" customHeight="1" x14ac:dyDescent="0.25">
      <c r="A20" s="31"/>
      <c r="B20" s="790" t="s">
        <v>43</v>
      </c>
      <c r="C20" s="796" t="s">
        <v>44</v>
      </c>
      <c r="D20" s="360" t="s">
        <v>38</v>
      </c>
      <c r="E20" s="797">
        <v>1492</v>
      </c>
      <c r="F20" s="205">
        <f>1492+453.9</f>
        <v>1945.9</v>
      </c>
      <c r="G20" s="206">
        <f>746</f>
        <v>746</v>
      </c>
      <c r="H20" s="207">
        <f t="shared" si="0"/>
        <v>50</v>
      </c>
      <c r="I20" s="208">
        <f t="shared" si="1"/>
        <v>38.337016290662419</v>
      </c>
    </row>
    <row r="21" spans="1:9" ht="14.1" customHeight="1" x14ac:dyDescent="0.25">
      <c r="A21" s="31"/>
      <c r="B21" s="790"/>
      <c r="C21" s="794" t="s">
        <v>267</v>
      </c>
      <c r="D21" s="360"/>
      <c r="E21" s="798">
        <v>875</v>
      </c>
      <c r="F21" s="227">
        <v>875</v>
      </c>
      <c r="G21" s="224">
        <v>438</v>
      </c>
      <c r="H21" s="225">
        <f t="shared" si="0"/>
        <v>50.057142857142857</v>
      </c>
      <c r="I21" s="226">
        <f t="shared" si="1"/>
        <v>50.057142857142857</v>
      </c>
    </row>
    <row r="22" spans="1:9" ht="14.1" customHeight="1" x14ac:dyDescent="0.25">
      <c r="A22" s="31"/>
      <c r="B22" s="790"/>
      <c r="C22" s="794" t="s">
        <v>271</v>
      </c>
      <c r="D22" s="360"/>
      <c r="E22" s="798">
        <v>195</v>
      </c>
      <c r="F22" s="227">
        <v>195</v>
      </c>
      <c r="G22" s="224">
        <v>98</v>
      </c>
      <c r="H22" s="225">
        <f t="shared" si="0"/>
        <v>50.256410256410255</v>
      </c>
      <c r="I22" s="226">
        <f t="shared" si="1"/>
        <v>50.256410256410255</v>
      </c>
    </row>
    <row r="23" spans="1:9" ht="14.1" customHeight="1" x14ac:dyDescent="0.25">
      <c r="A23" s="31"/>
      <c r="B23" s="790" t="s">
        <v>45</v>
      </c>
      <c r="C23" s="796" t="s">
        <v>46</v>
      </c>
      <c r="D23" s="360" t="s">
        <v>38</v>
      </c>
      <c r="E23" s="797">
        <v>1470</v>
      </c>
      <c r="F23" s="205">
        <f>1470+496</f>
        <v>1966</v>
      </c>
      <c r="G23" s="206">
        <v>735</v>
      </c>
      <c r="H23" s="207">
        <f t="shared" si="0"/>
        <v>50</v>
      </c>
      <c r="I23" s="208">
        <f t="shared" si="1"/>
        <v>37.385554425228889</v>
      </c>
    </row>
    <row r="24" spans="1:9" ht="14.1" customHeight="1" x14ac:dyDescent="0.25">
      <c r="A24" s="31"/>
      <c r="B24" s="790"/>
      <c r="C24" s="794" t="s">
        <v>267</v>
      </c>
      <c r="D24" s="360"/>
      <c r="E24" s="798">
        <v>1018</v>
      </c>
      <c r="F24" s="227">
        <v>1018</v>
      </c>
      <c r="G24" s="224">
        <v>509</v>
      </c>
      <c r="H24" s="225">
        <f t="shared" si="0"/>
        <v>50</v>
      </c>
      <c r="I24" s="226">
        <f t="shared" si="1"/>
        <v>50</v>
      </c>
    </row>
    <row r="25" spans="1:9" ht="14.1" customHeight="1" x14ac:dyDescent="0.25">
      <c r="A25" s="31"/>
      <c r="B25" s="790"/>
      <c r="C25" s="794" t="s">
        <v>271</v>
      </c>
      <c r="D25" s="360"/>
      <c r="E25" s="798">
        <v>29</v>
      </c>
      <c r="F25" s="227">
        <v>29</v>
      </c>
      <c r="G25" s="224">
        <v>15</v>
      </c>
      <c r="H25" s="225">
        <f t="shared" si="0"/>
        <v>51.724137931034484</v>
      </c>
      <c r="I25" s="226">
        <f t="shared" si="1"/>
        <v>51.724137931034484</v>
      </c>
    </row>
    <row r="26" spans="1:9" ht="14.1" customHeight="1" x14ac:dyDescent="0.25">
      <c r="A26" s="31"/>
      <c r="B26" s="790" t="s">
        <v>47</v>
      </c>
      <c r="C26" s="796" t="s">
        <v>48</v>
      </c>
      <c r="D26" s="360" t="s">
        <v>38</v>
      </c>
      <c r="E26" s="797">
        <v>1099</v>
      </c>
      <c r="F26" s="205">
        <f>1099+524.9</f>
        <v>1623.9</v>
      </c>
      <c r="G26" s="206">
        <v>549.5</v>
      </c>
      <c r="H26" s="207">
        <f t="shared" si="0"/>
        <v>50</v>
      </c>
      <c r="I26" s="208">
        <f t="shared" si="1"/>
        <v>33.83829053513147</v>
      </c>
    </row>
    <row r="27" spans="1:9" ht="14.1" customHeight="1" x14ac:dyDescent="0.25">
      <c r="A27" s="31"/>
      <c r="B27" s="790"/>
      <c r="C27" s="794" t="s">
        <v>267</v>
      </c>
      <c r="D27" s="360"/>
      <c r="E27" s="798">
        <v>619</v>
      </c>
      <c r="F27" s="227">
        <v>619</v>
      </c>
      <c r="G27" s="224">
        <v>310</v>
      </c>
      <c r="H27" s="225">
        <f t="shared" si="0"/>
        <v>50.080775444264944</v>
      </c>
      <c r="I27" s="226">
        <f t="shared" si="1"/>
        <v>50.080775444264944</v>
      </c>
    </row>
    <row r="28" spans="1:9" ht="14.1" customHeight="1" x14ac:dyDescent="0.25">
      <c r="A28" s="31"/>
      <c r="B28" s="790"/>
      <c r="C28" s="794" t="s">
        <v>271</v>
      </c>
      <c r="D28" s="360"/>
      <c r="E28" s="798">
        <v>58</v>
      </c>
      <c r="F28" s="227">
        <v>58</v>
      </c>
      <c r="G28" s="224">
        <v>29</v>
      </c>
      <c r="H28" s="225">
        <f t="shared" si="0"/>
        <v>50</v>
      </c>
      <c r="I28" s="226">
        <f t="shared" si="1"/>
        <v>50</v>
      </c>
    </row>
    <row r="29" spans="1:9" ht="14.1" customHeight="1" x14ac:dyDescent="0.25">
      <c r="A29" s="31"/>
      <c r="B29" s="790" t="s">
        <v>49</v>
      </c>
      <c r="C29" s="796" t="s">
        <v>50</v>
      </c>
      <c r="D29" s="360" t="s">
        <v>38</v>
      </c>
      <c r="E29" s="797">
        <v>2129</v>
      </c>
      <c r="F29" s="205">
        <f>2129+922.2</f>
        <v>3051.2</v>
      </c>
      <c r="G29" s="206">
        <v>1064.5</v>
      </c>
      <c r="H29" s="207">
        <f t="shared" si="0"/>
        <v>50</v>
      </c>
      <c r="I29" s="208">
        <f t="shared" si="1"/>
        <v>34.88791295228107</v>
      </c>
    </row>
    <row r="30" spans="1:9" ht="14.1" customHeight="1" x14ac:dyDescent="0.25">
      <c r="A30" s="31"/>
      <c r="B30" s="790"/>
      <c r="C30" s="794" t="s">
        <v>267</v>
      </c>
      <c r="D30" s="360"/>
      <c r="E30" s="798">
        <v>1137</v>
      </c>
      <c r="F30" s="227">
        <v>1137</v>
      </c>
      <c r="G30" s="224">
        <v>569</v>
      </c>
      <c r="H30" s="225">
        <f t="shared" si="0"/>
        <v>50.043975373790673</v>
      </c>
      <c r="I30" s="226">
        <f t="shared" si="1"/>
        <v>50.043975373790673</v>
      </c>
    </row>
    <row r="31" spans="1:9" ht="14.1" customHeight="1" x14ac:dyDescent="0.25">
      <c r="A31" s="31"/>
      <c r="B31" s="790"/>
      <c r="C31" s="794" t="s">
        <v>271</v>
      </c>
      <c r="D31" s="360"/>
      <c r="E31" s="798">
        <v>148</v>
      </c>
      <c r="F31" s="227">
        <v>148</v>
      </c>
      <c r="G31" s="224">
        <v>74</v>
      </c>
      <c r="H31" s="225">
        <f t="shared" si="0"/>
        <v>50</v>
      </c>
      <c r="I31" s="226">
        <f t="shared" si="1"/>
        <v>50</v>
      </c>
    </row>
    <row r="32" spans="1:9" ht="14.1" customHeight="1" x14ac:dyDescent="0.25">
      <c r="A32" s="31"/>
      <c r="B32" s="790" t="s">
        <v>51</v>
      </c>
      <c r="C32" s="796" t="s">
        <v>52</v>
      </c>
      <c r="D32" s="360" t="s">
        <v>38</v>
      </c>
      <c r="E32" s="797">
        <v>1450</v>
      </c>
      <c r="F32" s="205">
        <f>1450+661.8</f>
        <v>2111.8000000000002</v>
      </c>
      <c r="G32" s="206">
        <f>725</f>
        <v>725</v>
      </c>
      <c r="H32" s="207">
        <f t="shared" si="0"/>
        <v>50</v>
      </c>
      <c r="I32" s="208">
        <f t="shared" si="1"/>
        <v>34.33090254758973</v>
      </c>
    </row>
    <row r="33" spans="1:13" ht="14.1" customHeight="1" x14ac:dyDescent="0.25">
      <c r="A33" s="31"/>
      <c r="B33" s="790"/>
      <c r="C33" s="794" t="s">
        <v>267</v>
      </c>
      <c r="D33" s="360"/>
      <c r="E33" s="798">
        <v>808</v>
      </c>
      <c r="F33" s="227">
        <v>808</v>
      </c>
      <c r="G33" s="224">
        <v>404</v>
      </c>
      <c r="H33" s="225">
        <f t="shared" si="0"/>
        <v>50</v>
      </c>
      <c r="I33" s="226">
        <f t="shared" si="1"/>
        <v>50</v>
      </c>
    </row>
    <row r="34" spans="1:13" ht="14.1" customHeight="1" x14ac:dyDescent="0.25">
      <c r="A34" s="31"/>
      <c r="B34" s="790"/>
      <c r="C34" s="794" t="s">
        <v>271</v>
      </c>
      <c r="D34" s="360"/>
      <c r="E34" s="798">
        <v>114</v>
      </c>
      <c r="F34" s="227">
        <v>114</v>
      </c>
      <c r="G34" s="224">
        <v>57</v>
      </c>
      <c r="H34" s="225">
        <f t="shared" si="0"/>
        <v>50</v>
      </c>
      <c r="I34" s="226">
        <f t="shared" si="1"/>
        <v>50</v>
      </c>
    </row>
    <row r="35" spans="1:13" ht="14.1" customHeight="1" x14ac:dyDescent="0.25">
      <c r="A35" s="31"/>
      <c r="B35" s="790" t="s">
        <v>53</v>
      </c>
      <c r="C35" s="796" t="s">
        <v>54</v>
      </c>
      <c r="D35" s="360" t="s">
        <v>38</v>
      </c>
      <c r="E35" s="797">
        <v>1952</v>
      </c>
      <c r="F35" s="205">
        <f>1952+928.1+313</f>
        <v>3193.1</v>
      </c>
      <c r="G35" s="206">
        <f>976+313</f>
        <v>1289</v>
      </c>
      <c r="H35" s="207">
        <f t="shared" si="0"/>
        <v>66.034836065573771</v>
      </c>
      <c r="I35" s="208">
        <f t="shared" si="1"/>
        <v>40.368294134226929</v>
      </c>
    </row>
    <row r="36" spans="1:13" ht="14.1" customHeight="1" x14ac:dyDescent="0.25">
      <c r="A36" s="31"/>
      <c r="B36" s="790"/>
      <c r="C36" s="794" t="s">
        <v>267</v>
      </c>
      <c r="D36" s="360"/>
      <c r="E36" s="798">
        <v>1210</v>
      </c>
      <c r="F36" s="227">
        <v>1210</v>
      </c>
      <c r="G36" s="224">
        <v>605</v>
      </c>
      <c r="H36" s="225">
        <f t="shared" si="0"/>
        <v>50</v>
      </c>
      <c r="I36" s="226">
        <f t="shared" si="1"/>
        <v>50</v>
      </c>
    </row>
    <row r="37" spans="1:13" ht="14.1" customHeight="1" x14ac:dyDescent="0.25">
      <c r="A37" s="31"/>
      <c r="B37" s="790"/>
      <c r="C37" s="794" t="s">
        <v>271</v>
      </c>
      <c r="D37" s="360"/>
      <c r="E37" s="798">
        <v>109</v>
      </c>
      <c r="F37" s="227">
        <v>109</v>
      </c>
      <c r="G37" s="224">
        <v>55</v>
      </c>
      <c r="H37" s="225">
        <f t="shared" si="0"/>
        <v>50.458715596330272</v>
      </c>
      <c r="I37" s="226">
        <f t="shared" si="1"/>
        <v>50.458715596330272</v>
      </c>
    </row>
    <row r="38" spans="1:13" s="136" customFormat="1" ht="13.5" customHeight="1" x14ac:dyDescent="0.25">
      <c r="A38" s="800"/>
      <c r="B38" s="801"/>
      <c r="C38" s="802" t="s">
        <v>439</v>
      </c>
      <c r="D38" s="802"/>
      <c r="E38" s="222">
        <v>0</v>
      </c>
      <c r="F38" s="228">
        <v>313</v>
      </c>
      <c r="G38" s="222">
        <v>313</v>
      </c>
      <c r="H38" s="229">
        <v>0</v>
      </c>
      <c r="I38" s="230">
        <f t="shared" si="1"/>
        <v>100</v>
      </c>
      <c r="M38" s="1032"/>
    </row>
    <row r="39" spans="1:13" ht="14.1" customHeight="1" x14ac:dyDescent="0.25">
      <c r="A39" s="31"/>
      <c r="B39" s="790" t="s">
        <v>55</v>
      </c>
      <c r="C39" s="796" t="s">
        <v>56</v>
      </c>
      <c r="D39" s="360" t="s">
        <v>38</v>
      </c>
      <c r="E39" s="797">
        <v>1508</v>
      </c>
      <c r="F39" s="205">
        <f>1508+608.5</f>
        <v>2116.5</v>
      </c>
      <c r="G39" s="206">
        <v>754</v>
      </c>
      <c r="H39" s="207">
        <f t="shared" si="0"/>
        <v>50</v>
      </c>
      <c r="I39" s="208">
        <f t="shared" si="1"/>
        <v>35.624852350578784</v>
      </c>
    </row>
    <row r="40" spans="1:13" ht="14.1" customHeight="1" x14ac:dyDescent="0.25">
      <c r="A40" s="31"/>
      <c r="B40" s="790"/>
      <c r="C40" s="794" t="s">
        <v>267</v>
      </c>
      <c r="D40" s="360"/>
      <c r="E40" s="798">
        <v>625</v>
      </c>
      <c r="F40" s="227">
        <v>625</v>
      </c>
      <c r="G40" s="224">
        <v>313</v>
      </c>
      <c r="H40" s="225">
        <f t="shared" si="0"/>
        <v>50.080000000000005</v>
      </c>
      <c r="I40" s="226">
        <f t="shared" si="1"/>
        <v>50.080000000000005</v>
      </c>
    </row>
    <row r="41" spans="1:13" ht="14.1" customHeight="1" x14ac:dyDescent="0.25">
      <c r="A41" s="31"/>
      <c r="B41" s="790"/>
      <c r="C41" s="794" t="s">
        <v>271</v>
      </c>
      <c r="D41" s="360"/>
      <c r="E41" s="798">
        <v>461</v>
      </c>
      <c r="F41" s="227">
        <v>461</v>
      </c>
      <c r="G41" s="224">
        <v>231</v>
      </c>
      <c r="H41" s="225">
        <f t="shared" si="0"/>
        <v>50.108459869848154</v>
      </c>
      <c r="I41" s="226">
        <f t="shared" si="1"/>
        <v>50.108459869848154</v>
      </c>
    </row>
    <row r="42" spans="1:13" ht="14.1" customHeight="1" x14ac:dyDescent="0.25">
      <c r="A42" s="31"/>
      <c r="B42" s="790" t="s">
        <v>57</v>
      </c>
      <c r="C42" s="796" t="s">
        <v>58</v>
      </c>
      <c r="D42" s="360" t="s">
        <v>38</v>
      </c>
      <c r="E42" s="797">
        <v>1134</v>
      </c>
      <c r="F42" s="205">
        <f>1134+507.7</f>
        <v>1641.7</v>
      </c>
      <c r="G42" s="206">
        <v>567</v>
      </c>
      <c r="H42" s="207">
        <f t="shared" si="0"/>
        <v>50</v>
      </c>
      <c r="I42" s="208">
        <f t="shared" si="1"/>
        <v>34.537369799597975</v>
      </c>
    </row>
    <row r="43" spans="1:13" ht="14.1" customHeight="1" x14ac:dyDescent="0.25">
      <c r="A43" s="31"/>
      <c r="B43" s="790"/>
      <c r="C43" s="794" t="s">
        <v>267</v>
      </c>
      <c r="D43" s="360"/>
      <c r="E43" s="798">
        <v>582</v>
      </c>
      <c r="F43" s="227">
        <v>582</v>
      </c>
      <c r="G43" s="224">
        <v>291</v>
      </c>
      <c r="H43" s="225">
        <f t="shared" si="0"/>
        <v>50</v>
      </c>
      <c r="I43" s="226">
        <f t="shared" si="1"/>
        <v>50</v>
      </c>
    </row>
    <row r="44" spans="1:13" ht="14.1" customHeight="1" x14ac:dyDescent="0.25">
      <c r="A44" s="31"/>
      <c r="B44" s="790"/>
      <c r="C44" s="794" t="s">
        <v>271</v>
      </c>
      <c r="D44" s="360"/>
      <c r="E44" s="798">
        <v>129</v>
      </c>
      <c r="F44" s="227">
        <v>129</v>
      </c>
      <c r="G44" s="224">
        <v>65</v>
      </c>
      <c r="H44" s="225">
        <f t="shared" si="0"/>
        <v>50.387596899224803</v>
      </c>
      <c r="I44" s="226">
        <f t="shared" si="1"/>
        <v>50.387596899224803</v>
      </c>
    </row>
    <row r="45" spans="1:13" ht="14.1" customHeight="1" x14ac:dyDescent="0.25">
      <c r="A45" s="31"/>
      <c r="B45" s="790" t="s">
        <v>59</v>
      </c>
      <c r="C45" s="796" t="s">
        <v>60</v>
      </c>
      <c r="D45" s="360" t="s">
        <v>38</v>
      </c>
      <c r="E45" s="797">
        <v>1772</v>
      </c>
      <c r="F45" s="205">
        <f>1772+672</f>
        <v>2444</v>
      </c>
      <c r="G45" s="206">
        <v>886</v>
      </c>
      <c r="H45" s="207">
        <f t="shared" si="0"/>
        <v>50</v>
      </c>
      <c r="I45" s="208">
        <f t="shared" si="1"/>
        <v>36.252045826513914</v>
      </c>
    </row>
    <row r="46" spans="1:13" ht="14.1" customHeight="1" x14ac:dyDescent="0.25">
      <c r="A46" s="31"/>
      <c r="B46" s="790"/>
      <c r="C46" s="794" t="s">
        <v>268</v>
      </c>
      <c r="D46" s="360"/>
      <c r="E46" s="798">
        <v>1064</v>
      </c>
      <c r="F46" s="227">
        <v>1064</v>
      </c>
      <c r="G46" s="224">
        <v>532</v>
      </c>
      <c r="H46" s="225">
        <f t="shared" si="0"/>
        <v>50</v>
      </c>
      <c r="I46" s="226">
        <f t="shared" si="1"/>
        <v>50</v>
      </c>
    </row>
    <row r="47" spans="1:13" ht="14.1" customHeight="1" x14ac:dyDescent="0.25">
      <c r="A47" s="31"/>
      <c r="B47" s="790"/>
      <c r="C47" s="794" t="s">
        <v>271</v>
      </c>
      <c r="D47" s="360"/>
      <c r="E47" s="798">
        <v>180</v>
      </c>
      <c r="F47" s="227">
        <v>180</v>
      </c>
      <c r="G47" s="224">
        <v>90</v>
      </c>
      <c r="H47" s="225">
        <f t="shared" si="0"/>
        <v>50</v>
      </c>
      <c r="I47" s="226">
        <f t="shared" si="1"/>
        <v>50</v>
      </c>
    </row>
    <row r="48" spans="1:13" ht="14.1" customHeight="1" x14ac:dyDescent="0.25">
      <c r="A48" s="31"/>
      <c r="B48" s="790" t="s">
        <v>61</v>
      </c>
      <c r="C48" s="796" t="s">
        <v>62</v>
      </c>
      <c r="D48" s="360" t="s">
        <v>38</v>
      </c>
      <c r="E48" s="797">
        <v>1273</v>
      </c>
      <c r="F48" s="205">
        <f>1273+554.2</f>
        <v>1827.2</v>
      </c>
      <c r="G48" s="206">
        <v>636.5</v>
      </c>
      <c r="H48" s="207">
        <f t="shared" si="0"/>
        <v>50</v>
      </c>
      <c r="I48" s="208">
        <f t="shared" si="1"/>
        <v>34.834719789842381</v>
      </c>
    </row>
    <row r="49" spans="1:9" ht="14.1" customHeight="1" x14ac:dyDescent="0.25">
      <c r="A49" s="31"/>
      <c r="B49" s="790"/>
      <c r="C49" s="794" t="s">
        <v>267</v>
      </c>
      <c r="D49" s="360"/>
      <c r="E49" s="798">
        <v>771</v>
      </c>
      <c r="F49" s="227">
        <v>771</v>
      </c>
      <c r="G49" s="224">
        <v>386</v>
      </c>
      <c r="H49" s="225">
        <f t="shared" si="0"/>
        <v>50.06485084306096</v>
      </c>
      <c r="I49" s="226">
        <f t="shared" si="1"/>
        <v>50.06485084306096</v>
      </c>
    </row>
    <row r="50" spans="1:9" ht="14.1" customHeight="1" thickBot="1" x14ac:dyDescent="0.3">
      <c r="A50" s="803"/>
      <c r="B50" s="804"/>
      <c r="C50" s="805" t="s">
        <v>271</v>
      </c>
      <c r="D50" s="372"/>
      <c r="E50" s="806">
        <v>80</v>
      </c>
      <c r="F50" s="231">
        <v>80</v>
      </c>
      <c r="G50" s="232">
        <v>40</v>
      </c>
      <c r="H50" s="233">
        <f t="shared" si="0"/>
        <v>50</v>
      </c>
      <c r="I50" s="234">
        <f t="shared" si="1"/>
        <v>50</v>
      </c>
    </row>
    <row r="51" spans="1:9" ht="14.1" customHeight="1" x14ac:dyDescent="0.25">
      <c r="A51" s="238"/>
      <c r="B51" s="238"/>
      <c r="C51" s="239"/>
      <c r="D51" s="240"/>
      <c r="E51" s="807"/>
      <c r="F51" s="241"/>
    </row>
    <row r="52" spans="1:9" x14ac:dyDescent="0.25">
      <c r="A52" s="238"/>
      <c r="B52" s="238"/>
      <c r="C52" s="239"/>
      <c r="D52" s="240"/>
      <c r="E52" s="807"/>
      <c r="F52" s="241"/>
    </row>
    <row r="53" spans="1:9" ht="15.75" thickBot="1" x14ac:dyDescent="0.3">
      <c r="A53" s="238"/>
      <c r="B53" s="238"/>
      <c r="C53" s="239"/>
      <c r="D53" s="240"/>
      <c r="E53" s="807"/>
      <c r="F53" s="101"/>
      <c r="I53" s="105" t="s">
        <v>514</v>
      </c>
    </row>
    <row r="54" spans="1:9" x14ac:dyDescent="0.25">
      <c r="A54" s="9" t="s">
        <v>1</v>
      </c>
      <c r="B54" s="10" t="s">
        <v>2</v>
      </c>
      <c r="C54" s="11" t="s">
        <v>3</v>
      </c>
      <c r="D54" s="12"/>
      <c r="E54" s="24" t="s">
        <v>4</v>
      </c>
      <c r="F54" s="96" t="s">
        <v>326</v>
      </c>
      <c r="G54" s="110" t="s">
        <v>320</v>
      </c>
      <c r="H54" s="106" t="s">
        <v>322</v>
      </c>
      <c r="I54" s="265" t="s">
        <v>322</v>
      </c>
    </row>
    <row r="55" spans="1:9" ht="14.25" customHeight="1" x14ac:dyDescent="0.25">
      <c r="A55" s="13" t="s">
        <v>5</v>
      </c>
      <c r="B55" s="14" t="s">
        <v>6</v>
      </c>
      <c r="C55" s="15" t="s">
        <v>7</v>
      </c>
      <c r="D55" s="16" t="s">
        <v>8</v>
      </c>
      <c r="E55" s="25" t="s">
        <v>265</v>
      </c>
      <c r="F55" s="97" t="s">
        <v>327</v>
      </c>
      <c r="G55" s="111" t="s">
        <v>321</v>
      </c>
      <c r="H55" s="108" t="s">
        <v>323</v>
      </c>
      <c r="I55" s="266" t="s">
        <v>324</v>
      </c>
    </row>
    <row r="56" spans="1:9" ht="13.5" customHeight="1" thickBot="1" x14ac:dyDescent="0.3">
      <c r="A56" s="17" t="s">
        <v>9</v>
      </c>
      <c r="B56" s="808" t="s">
        <v>10</v>
      </c>
      <c r="C56" s="18"/>
      <c r="D56" s="19"/>
      <c r="E56" s="25" t="s">
        <v>292</v>
      </c>
      <c r="F56" s="551">
        <v>43646</v>
      </c>
      <c r="G56" s="551">
        <v>43646</v>
      </c>
      <c r="H56" s="108" t="s">
        <v>235</v>
      </c>
      <c r="I56" s="266" t="s">
        <v>235</v>
      </c>
    </row>
    <row r="57" spans="1:9" ht="14.1" customHeight="1" x14ac:dyDescent="0.25">
      <c r="A57" s="132"/>
      <c r="B57" s="809" t="s">
        <v>63</v>
      </c>
      <c r="C57" s="810" t="s">
        <v>64</v>
      </c>
      <c r="D57" s="489" t="s">
        <v>38</v>
      </c>
      <c r="E57" s="811">
        <v>1149</v>
      </c>
      <c r="F57" s="812">
        <f>1149+535.6</f>
        <v>1684.6</v>
      </c>
      <c r="G57" s="813">
        <v>574.5</v>
      </c>
      <c r="H57" s="814">
        <f t="shared" ref="H57:H104" si="2">G57/E57*100</f>
        <v>50</v>
      </c>
      <c r="I57" s="815">
        <f t="shared" ref="I57:I104" si="3">G57/F57*100</f>
        <v>34.103051169417078</v>
      </c>
    </row>
    <row r="58" spans="1:9" ht="14.1" customHeight="1" x14ac:dyDescent="0.25">
      <c r="A58" s="31"/>
      <c r="B58" s="790"/>
      <c r="C58" s="794" t="s">
        <v>267</v>
      </c>
      <c r="D58" s="360"/>
      <c r="E58" s="798">
        <v>645</v>
      </c>
      <c r="F58" s="227">
        <v>645</v>
      </c>
      <c r="G58" s="235">
        <v>323</v>
      </c>
      <c r="H58" s="236">
        <f t="shared" si="2"/>
        <v>50.077519379844958</v>
      </c>
      <c r="I58" s="237">
        <f t="shared" si="3"/>
        <v>50.077519379844958</v>
      </c>
    </row>
    <row r="59" spans="1:9" ht="14.1" customHeight="1" x14ac:dyDescent="0.25">
      <c r="A59" s="31"/>
      <c r="B59" s="790"/>
      <c r="C59" s="794" t="s">
        <v>271</v>
      </c>
      <c r="D59" s="360"/>
      <c r="E59" s="798">
        <v>82</v>
      </c>
      <c r="F59" s="227">
        <v>82</v>
      </c>
      <c r="G59" s="224">
        <v>41</v>
      </c>
      <c r="H59" s="236">
        <f t="shared" si="2"/>
        <v>50</v>
      </c>
      <c r="I59" s="237">
        <f t="shared" si="3"/>
        <v>50</v>
      </c>
    </row>
    <row r="60" spans="1:9" ht="14.1" customHeight="1" x14ac:dyDescent="0.25">
      <c r="A60" s="31"/>
      <c r="B60" s="790" t="s">
        <v>65</v>
      </c>
      <c r="C60" s="796" t="s">
        <v>66</v>
      </c>
      <c r="D60" s="360" t="s">
        <v>38</v>
      </c>
      <c r="E60" s="797">
        <v>1970</v>
      </c>
      <c r="F60" s="205">
        <f>1970+910.9</f>
        <v>2880.9</v>
      </c>
      <c r="G60" s="206">
        <v>985</v>
      </c>
      <c r="H60" s="209">
        <f t="shared" si="2"/>
        <v>50</v>
      </c>
      <c r="I60" s="210">
        <f t="shared" si="3"/>
        <v>34.190704293797076</v>
      </c>
    </row>
    <row r="61" spans="1:9" ht="14.1" customHeight="1" x14ac:dyDescent="0.25">
      <c r="A61" s="31"/>
      <c r="B61" s="790"/>
      <c r="C61" s="794" t="s">
        <v>267</v>
      </c>
      <c r="D61" s="360"/>
      <c r="E61" s="798">
        <v>942</v>
      </c>
      <c r="F61" s="227">
        <v>942</v>
      </c>
      <c r="G61" s="224">
        <v>471</v>
      </c>
      <c r="H61" s="236">
        <f t="shared" si="2"/>
        <v>50</v>
      </c>
      <c r="I61" s="237">
        <f t="shared" si="3"/>
        <v>50</v>
      </c>
    </row>
    <row r="62" spans="1:9" ht="14.1" customHeight="1" x14ac:dyDescent="0.25">
      <c r="A62" s="31"/>
      <c r="B62" s="790"/>
      <c r="C62" s="794" t="s">
        <v>271</v>
      </c>
      <c r="D62" s="360"/>
      <c r="E62" s="798">
        <v>90</v>
      </c>
      <c r="F62" s="227">
        <v>90</v>
      </c>
      <c r="G62" s="224">
        <v>45</v>
      </c>
      <c r="H62" s="236">
        <f t="shared" si="2"/>
        <v>50</v>
      </c>
      <c r="I62" s="237">
        <f t="shared" si="3"/>
        <v>50</v>
      </c>
    </row>
    <row r="63" spans="1:9" ht="14.1" customHeight="1" x14ac:dyDescent="0.25">
      <c r="A63" s="31"/>
      <c r="B63" s="790"/>
      <c r="C63" s="816" t="s">
        <v>256</v>
      </c>
      <c r="D63" s="360"/>
      <c r="E63" s="798">
        <v>200</v>
      </c>
      <c r="F63" s="227">
        <v>200</v>
      </c>
      <c r="G63" s="224">
        <v>100</v>
      </c>
      <c r="H63" s="236">
        <f t="shared" si="2"/>
        <v>50</v>
      </c>
      <c r="I63" s="237">
        <f t="shared" si="3"/>
        <v>50</v>
      </c>
    </row>
    <row r="64" spans="1:9" ht="14.1" customHeight="1" x14ac:dyDescent="0.25">
      <c r="A64" s="31"/>
      <c r="B64" s="790" t="s">
        <v>67</v>
      </c>
      <c r="C64" s="796" t="s">
        <v>68</v>
      </c>
      <c r="D64" s="360" t="s">
        <v>38</v>
      </c>
      <c r="E64" s="797">
        <v>1561</v>
      </c>
      <c r="F64" s="205">
        <f>1561+612.8</f>
        <v>2173.8000000000002</v>
      </c>
      <c r="G64" s="206">
        <v>781</v>
      </c>
      <c r="H64" s="209">
        <f t="shared" si="2"/>
        <v>50.032030749519542</v>
      </c>
      <c r="I64" s="210">
        <f t="shared" si="3"/>
        <v>35.92786824914895</v>
      </c>
    </row>
    <row r="65" spans="1:13" ht="14.1" customHeight="1" x14ac:dyDescent="0.25">
      <c r="A65" s="31"/>
      <c r="B65" s="790"/>
      <c r="C65" s="794" t="s">
        <v>267</v>
      </c>
      <c r="D65" s="360"/>
      <c r="E65" s="798">
        <v>920</v>
      </c>
      <c r="F65" s="227">
        <v>920</v>
      </c>
      <c r="G65" s="224">
        <v>460</v>
      </c>
      <c r="H65" s="236">
        <f t="shared" si="2"/>
        <v>50</v>
      </c>
      <c r="I65" s="237">
        <f t="shared" si="3"/>
        <v>50</v>
      </c>
    </row>
    <row r="66" spans="1:13" ht="14.1" customHeight="1" x14ac:dyDescent="0.25">
      <c r="A66" s="31"/>
      <c r="B66" s="790"/>
      <c r="C66" s="794" t="s">
        <v>271</v>
      </c>
      <c r="D66" s="360"/>
      <c r="E66" s="798">
        <v>113</v>
      </c>
      <c r="F66" s="227">
        <v>113</v>
      </c>
      <c r="G66" s="224">
        <v>57</v>
      </c>
      <c r="H66" s="236">
        <f t="shared" si="2"/>
        <v>50.442477876106196</v>
      </c>
      <c r="I66" s="237">
        <f t="shared" si="3"/>
        <v>50.442477876106196</v>
      </c>
    </row>
    <row r="67" spans="1:13" ht="14.1" customHeight="1" x14ac:dyDescent="0.25">
      <c r="A67" s="31"/>
      <c r="B67" s="790" t="s">
        <v>69</v>
      </c>
      <c r="C67" s="796" t="s">
        <v>70</v>
      </c>
      <c r="D67" s="360" t="s">
        <v>38</v>
      </c>
      <c r="E67" s="797">
        <v>1450</v>
      </c>
      <c r="F67" s="205">
        <f>1450+595.9</f>
        <v>2045.9</v>
      </c>
      <c r="G67" s="206">
        <v>725</v>
      </c>
      <c r="H67" s="209">
        <f t="shared" si="2"/>
        <v>50</v>
      </c>
      <c r="I67" s="210">
        <f t="shared" si="3"/>
        <v>35.436727112762107</v>
      </c>
    </row>
    <row r="68" spans="1:13" ht="14.1" customHeight="1" x14ac:dyDescent="0.25">
      <c r="A68" s="31"/>
      <c r="B68" s="790"/>
      <c r="C68" s="794" t="s">
        <v>267</v>
      </c>
      <c r="D68" s="360"/>
      <c r="E68" s="798">
        <v>560</v>
      </c>
      <c r="F68" s="227">
        <v>560</v>
      </c>
      <c r="G68" s="224">
        <v>280</v>
      </c>
      <c r="H68" s="236">
        <f t="shared" si="2"/>
        <v>50</v>
      </c>
      <c r="I68" s="237">
        <f t="shared" si="3"/>
        <v>50</v>
      </c>
    </row>
    <row r="69" spans="1:13" ht="14.1" customHeight="1" x14ac:dyDescent="0.25">
      <c r="A69" s="31"/>
      <c r="B69" s="790"/>
      <c r="C69" s="794" t="s">
        <v>256</v>
      </c>
      <c r="D69" s="360"/>
      <c r="E69" s="797">
        <v>250</v>
      </c>
      <c r="F69" s="205">
        <v>250</v>
      </c>
      <c r="G69" s="224">
        <v>125</v>
      </c>
      <c r="H69" s="236">
        <f t="shared" si="2"/>
        <v>50</v>
      </c>
      <c r="I69" s="237">
        <f t="shared" si="3"/>
        <v>50</v>
      </c>
    </row>
    <row r="70" spans="1:13" ht="14.1" customHeight="1" x14ac:dyDescent="0.25">
      <c r="A70" s="31"/>
      <c r="B70" s="790"/>
      <c r="C70" s="794" t="s">
        <v>271</v>
      </c>
      <c r="D70" s="360"/>
      <c r="E70" s="795">
        <v>111</v>
      </c>
      <c r="F70" s="223">
        <v>111</v>
      </c>
      <c r="G70" s="224">
        <v>56</v>
      </c>
      <c r="H70" s="236">
        <f t="shared" si="2"/>
        <v>50.450450450450447</v>
      </c>
      <c r="I70" s="237">
        <f t="shared" si="3"/>
        <v>50.450450450450447</v>
      </c>
    </row>
    <row r="71" spans="1:13" ht="14.1" customHeight="1" x14ac:dyDescent="0.25">
      <c r="A71" s="31"/>
      <c r="B71" s="790" t="s">
        <v>71</v>
      </c>
      <c r="C71" s="796" t="s">
        <v>72</v>
      </c>
      <c r="D71" s="360" t="s">
        <v>38</v>
      </c>
      <c r="E71" s="797">
        <v>2791</v>
      </c>
      <c r="F71" s="205">
        <f>2791+1016</f>
        <v>3807</v>
      </c>
      <c r="G71" s="206">
        <v>1395.5</v>
      </c>
      <c r="H71" s="209">
        <f t="shared" si="2"/>
        <v>50</v>
      </c>
      <c r="I71" s="210">
        <f t="shared" si="3"/>
        <v>36.656159705805095</v>
      </c>
    </row>
    <row r="72" spans="1:13" ht="14.1" customHeight="1" x14ac:dyDescent="0.25">
      <c r="A72" s="31"/>
      <c r="B72" s="790"/>
      <c r="C72" s="794" t="s">
        <v>267</v>
      </c>
      <c r="D72" s="360"/>
      <c r="E72" s="798">
        <v>1172</v>
      </c>
      <c r="F72" s="227">
        <v>1172</v>
      </c>
      <c r="G72" s="224">
        <v>586</v>
      </c>
      <c r="H72" s="236">
        <f t="shared" si="2"/>
        <v>50</v>
      </c>
      <c r="I72" s="237">
        <f t="shared" si="3"/>
        <v>50</v>
      </c>
    </row>
    <row r="73" spans="1:13" ht="14.1" customHeight="1" x14ac:dyDescent="0.25">
      <c r="A73" s="31"/>
      <c r="B73" s="790"/>
      <c r="C73" s="794" t="s">
        <v>272</v>
      </c>
      <c r="D73" s="360"/>
      <c r="E73" s="798">
        <v>774</v>
      </c>
      <c r="F73" s="227">
        <v>774</v>
      </c>
      <c r="G73" s="224">
        <v>387</v>
      </c>
      <c r="H73" s="236">
        <f t="shared" si="2"/>
        <v>50</v>
      </c>
      <c r="I73" s="237">
        <f t="shared" si="3"/>
        <v>50</v>
      </c>
    </row>
    <row r="74" spans="1:13" ht="14.1" customHeight="1" x14ac:dyDescent="0.25">
      <c r="A74" s="32" t="s">
        <v>34</v>
      </c>
      <c r="B74" s="836"/>
      <c r="C74" s="837" t="s">
        <v>73</v>
      </c>
      <c r="D74" s="838"/>
      <c r="E74" s="1021">
        <f>E75+E79+E83+E87+E91+E97+E101+E111+E115+E119+E123+E128+E132+E136+E140</f>
        <v>99077</v>
      </c>
      <c r="F74" s="1022">
        <f>F75+F79+F83+F87+F91+F97+F101+F111+F115+F119+F123+F128+F132+F136+F140</f>
        <v>143848.40000000002</v>
      </c>
      <c r="G74" s="1021">
        <f>G75+G79+G83+G87+G91+G97+G101+G111+G115+G119+G123+G128+G132+G136+G140+G149</f>
        <v>50458.864880000001</v>
      </c>
      <c r="H74" s="213">
        <f t="shared" si="2"/>
        <v>50.928938986848614</v>
      </c>
      <c r="I74" s="1023">
        <f t="shared" si="3"/>
        <v>35.077807525144522</v>
      </c>
    </row>
    <row r="75" spans="1:13" s="382" customFormat="1" ht="14.1" customHeight="1" x14ac:dyDescent="0.25">
      <c r="A75" s="1015"/>
      <c r="B75" s="1024" t="s">
        <v>74</v>
      </c>
      <c r="C75" s="1025" t="s">
        <v>75</v>
      </c>
      <c r="D75" s="1026" t="s">
        <v>76</v>
      </c>
      <c r="E75" s="829">
        <v>7150</v>
      </c>
      <c r="F75" s="827">
        <v>10148.6</v>
      </c>
      <c r="G75" s="206">
        <f>3580.5+1256.253</f>
        <v>4836.7529999999997</v>
      </c>
      <c r="H75" s="209">
        <f t="shared" si="2"/>
        <v>67.646895104895094</v>
      </c>
      <c r="I75" s="210">
        <f t="shared" si="3"/>
        <v>47.659312614547815</v>
      </c>
      <c r="M75" s="1033"/>
    </row>
    <row r="76" spans="1:13" ht="14.1" customHeight="1" x14ac:dyDescent="0.25">
      <c r="A76" s="839"/>
      <c r="B76" s="1024"/>
      <c r="C76" s="816" t="s">
        <v>268</v>
      </c>
      <c r="D76" s="846"/>
      <c r="E76" s="830">
        <v>2926</v>
      </c>
      <c r="F76" s="267">
        <v>2926</v>
      </c>
      <c r="G76" s="224">
        <v>1463</v>
      </c>
      <c r="H76" s="236">
        <f t="shared" si="2"/>
        <v>50</v>
      </c>
      <c r="I76" s="237">
        <f t="shared" si="3"/>
        <v>50</v>
      </c>
      <c r="K76" s="100"/>
      <c r="M76" s="1034"/>
    </row>
    <row r="77" spans="1:13" ht="14.1" customHeight="1" x14ac:dyDescent="0.25">
      <c r="A77" s="839"/>
      <c r="B77" s="1024"/>
      <c r="C77" s="794" t="s">
        <v>273</v>
      </c>
      <c r="D77" s="846"/>
      <c r="E77" s="830">
        <v>66</v>
      </c>
      <c r="F77" s="267">
        <v>66</v>
      </c>
      <c r="G77" s="224">
        <v>33</v>
      </c>
      <c r="H77" s="236">
        <f t="shared" si="2"/>
        <v>50</v>
      </c>
      <c r="I77" s="237">
        <f t="shared" si="3"/>
        <v>50</v>
      </c>
      <c r="M77" s="1034"/>
    </row>
    <row r="78" spans="1:13" ht="14.1" customHeight="1" x14ac:dyDescent="0.25">
      <c r="A78" s="839"/>
      <c r="B78" s="1024"/>
      <c r="C78" s="794" t="s">
        <v>271</v>
      </c>
      <c r="D78" s="846"/>
      <c r="E78" s="830">
        <v>2589</v>
      </c>
      <c r="F78" s="267">
        <v>2589</v>
      </c>
      <c r="G78" s="224">
        <v>1295</v>
      </c>
      <c r="H78" s="236">
        <f t="shared" si="2"/>
        <v>50.019312475859401</v>
      </c>
      <c r="I78" s="237">
        <f t="shared" si="3"/>
        <v>50.019312475859401</v>
      </c>
      <c r="M78" s="1034"/>
    </row>
    <row r="79" spans="1:13" s="382" customFormat="1" ht="14.1" customHeight="1" x14ac:dyDescent="0.25">
      <c r="A79" s="1015"/>
      <c r="B79" s="1024" t="s">
        <v>77</v>
      </c>
      <c r="C79" s="1025" t="s">
        <v>78</v>
      </c>
      <c r="D79" s="1026" t="s">
        <v>76</v>
      </c>
      <c r="E79" s="829">
        <v>3956</v>
      </c>
      <c r="F79" s="827">
        <v>8195.6</v>
      </c>
      <c r="G79" s="206">
        <v>2095.5</v>
      </c>
      <c r="H79" s="209">
        <f t="shared" si="2"/>
        <v>52.970171890798788</v>
      </c>
      <c r="I79" s="210">
        <f t="shared" si="3"/>
        <v>25.568597784176873</v>
      </c>
      <c r="M79" s="1033"/>
    </row>
    <row r="80" spans="1:13" ht="14.1" customHeight="1" x14ac:dyDescent="0.25">
      <c r="A80" s="839"/>
      <c r="B80" s="1024"/>
      <c r="C80" s="816" t="s">
        <v>268</v>
      </c>
      <c r="D80" s="1026"/>
      <c r="E80" s="830">
        <v>1913</v>
      </c>
      <c r="F80" s="267">
        <f>1913</f>
        <v>1913</v>
      </c>
      <c r="G80" s="224">
        <v>957</v>
      </c>
      <c r="H80" s="236">
        <f t="shared" si="2"/>
        <v>50.026136957658132</v>
      </c>
      <c r="I80" s="237">
        <f t="shared" si="3"/>
        <v>50.026136957658132</v>
      </c>
      <c r="M80" s="1034"/>
    </row>
    <row r="81" spans="1:13" ht="14.1" customHeight="1" x14ac:dyDescent="0.25">
      <c r="A81" s="839"/>
      <c r="B81" s="1024"/>
      <c r="C81" s="794" t="s">
        <v>273</v>
      </c>
      <c r="D81" s="1026"/>
      <c r="E81" s="830">
        <v>62</v>
      </c>
      <c r="F81" s="267">
        <v>62</v>
      </c>
      <c r="G81" s="224">
        <v>31</v>
      </c>
      <c r="H81" s="236">
        <f t="shared" si="2"/>
        <v>50</v>
      </c>
      <c r="I81" s="237">
        <f t="shared" si="3"/>
        <v>50</v>
      </c>
      <c r="M81" s="1034"/>
    </row>
    <row r="82" spans="1:13" ht="14.1" customHeight="1" x14ac:dyDescent="0.25">
      <c r="A82" s="839"/>
      <c r="B82" s="1024"/>
      <c r="C82" s="794" t="s">
        <v>271</v>
      </c>
      <c r="D82" s="1026"/>
      <c r="E82" s="830">
        <v>202</v>
      </c>
      <c r="F82" s="267">
        <v>202</v>
      </c>
      <c r="G82" s="224">
        <v>101</v>
      </c>
      <c r="H82" s="236">
        <f t="shared" si="2"/>
        <v>50</v>
      </c>
      <c r="I82" s="237">
        <f t="shared" si="3"/>
        <v>50</v>
      </c>
      <c r="M82" s="1034"/>
    </row>
    <row r="83" spans="1:13" s="382" customFormat="1" ht="14.1" customHeight="1" x14ac:dyDescent="0.25">
      <c r="A83" s="1015"/>
      <c r="B83" s="1024" t="s">
        <v>79</v>
      </c>
      <c r="C83" s="1025" t="s">
        <v>80</v>
      </c>
      <c r="D83" s="1026" t="s">
        <v>76</v>
      </c>
      <c r="E83" s="829">
        <v>4861</v>
      </c>
      <c r="F83" s="827">
        <v>7736.2</v>
      </c>
      <c r="G83" s="206">
        <f>2436+47.7+139.2</f>
        <v>2622.8999999999996</v>
      </c>
      <c r="H83" s="209">
        <f t="shared" si="2"/>
        <v>53.958033326476027</v>
      </c>
      <c r="I83" s="210">
        <f t="shared" si="3"/>
        <v>33.904242392906077</v>
      </c>
      <c r="M83" s="1033"/>
    </row>
    <row r="84" spans="1:13" ht="14.1" customHeight="1" x14ac:dyDescent="0.25">
      <c r="A84" s="839"/>
      <c r="B84" s="1024"/>
      <c r="C84" s="816" t="s">
        <v>268</v>
      </c>
      <c r="D84" s="1026"/>
      <c r="E84" s="830">
        <v>1856</v>
      </c>
      <c r="F84" s="267">
        <v>1856</v>
      </c>
      <c r="G84" s="224">
        <v>928</v>
      </c>
      <c r="H84" s="236">
        <f t="shared" si="2"/>
        <v>50</v>
      </c>
      <c r="I84" s="237">
        <f t="shared" si="3"/>
        <v>50</v>
      </c>
      <c r="M84" s="1034"/>
    </row>
    <row r="85" spans="1:13" ht="14.1" customHeight="1" x14ac:dyDescent="0.25">
      <c r="A85" s="839"/>
      <c r="B85" s="1024"/>
      <c r="C85" s="794" t="s">
        <v>273</v>
      </c>
      <c r="D85" s="1026"/>
      <c r="E85" s="830">
        <v>80</v>
      </c>
      <c r="F85" s="267">
        <v>80</v>
      </c>
      <c r="G85" s="224">
        <v>40</v>
      </c>
      <c r="H85" s="236">
        <f t="shared" si="2"/>
        <v>50</v>
      </c>
      <c r="I85" s="237">
        <f t="shared" si="3"/>
        <v>50</v>
      </c>
      <c r="M85" s="1034"/>
    </row>
    <row r="86" spans="1:13" ht="14.1" customHeight="1" x14ac:dyDescent="0.25">
      <c r="A86" s="839"/>
      <c r="B86" s="1024"/>
      <c r="C86" s="794" t="s">
        <v>271</v>
      </c>
      <c r="D86" s="1026"/>
      <c r="E86" s="830">
        <v>877</v>
      </c>
      <c r="F86" s="267">
        <v>877</v>
      </c>
      <c r="G86" s="224">
        <v>439</v>
      </c>
      <c r="H86" s="236">
        <f t="shared" si="2"/>
        <v>50.057012542759402</v>
      </c>
      <c r="I86" s="237">
        <f t="shared" si="3"/>
        <v>50.057012542759402</v>
      </c>
      <c r="M86" s="1034"/>
    </row>
    <row r="87" spans="1:13" s="382" customFormat="1" ht="14.1" customHeight="1" x14ac:dyDescent="0.25">
      <c r="A87" s="1015"/>
      <c r="B87" s="1024" t="s">
        <v>81</v>
      </c>
      <c r="C87" s="1025" t="s">
        <v>82</v>
      </c>
      <c r="D87" s="1026" t="s">
        <v>76</v>
      </c>
      <c r="E87" s="829">
        <v>4214</v>
      </c>
      <c r="F87" s="827">
        <v>6323.7</v>
      </c>
      <c r="G87" s="206">
        <f>2112.5+139.2</f>
        <v>2251.6999999999998</v>
      </c>
      <c r="H87" s="209">
        <f t="shared" si="2"/>
        <v>53.433792121499756</v>
      </c>
      <c r="I87" s="210">
        <f t="shared" si="3"/>
        <v>35.607318500245107</v>
      </c>
      <c r="M87" s="1033"/>
    </row>
    <row r="88" spans="1:13" ht="14.1" customHeight="1" x14ac:dyDescent="0.25">
      <c r="A88" s="839"/>
      <c r="B88" s="1024"/>
      <c r="C88" s="816" t="s">
        <v>268</v>
      </c>
      <c r="D88" s="1026"/>
      <c r="E88" s="830">
        <v>1933</v>
      </c>
      <c r="F88" s="267">
        <v>1933</v>
      </c>
      <c r="G88" s="224">
        <v>967</v>
      </c>
      <c r="H88" s="236">
        <f t="shared" si="2"/>
        <v>50.025866528711852</v>
      </c>
      <c r="I88" s="237">
        <f t="shared" si="3"/>
        <v>50.025866528711852</v>
      </c>
      <c r="M88" s="1034"/>
    </row>
    <row r="89" spans="1:13" ht="14.1" customHeight="1" x14ac:dyDescent="0.25">
      <c r="A89" s="839"/>
      <c r="B89" s="1024"/>
      <c r="C89" s="794" t="s">
        <v>273</v>
      </c>
      <c r="D89" s="1026"/>
      <c r="E89" s="830">
        <v>59</v>
      </c>
      <c r="F89" s="267">
        <v>59</v>
      </c>
      <c r="G89" s="224">
        <v>30</v>
      </c>
      <c r="H89" s="236">
        <f t="shared" si="2"/>
        <v>50.847457627118644</v>
      </c>
      <c r="I89" s="237">
        <f t="shared" si="3"/>
        <v>50.847457627118644</v>
      </c>
      <c r="M89" s="1034"/>
    </row>
    <row r="90" spans="1:13" ht="14.1" customHeight="1" x14ac:dyDescent="0.25">
      <c r="A90" s="839"/>
      <c r="B90" s="1024"/>
      <c r="C90" s="794" t="s">
        <v>271</v>
      </c>
      <c r="D90" s="1026"/>
      <c r="E90" s="830">
        <v>700</v>
      </c>
      <c r="F90" s="267">
        <v>700</v>
      </c>
      <c r="G90" s="224">
        <v>350</v>
      </c>
      <c r="H90" s="236">
        <f t="shared" si="2"/>
        <v>50</v>
      </c>
      <c r="I90" s="237">
        <f t="shared" si="3"/>
        <v>50</v>
      </c>
      <c r="M90" s="1034"/>
    </row>
    <row r="91" spans="1:13" s="382" customFormat="1" ht="14.1" customHeight="1" x14ac:dyDescent="0.25">
      <c r="A91" s="1015"/>
      <c r="B91" s="1024" t="s">
        <v>83</v>
      </c>
      <c r="C91" s="1025" t="s">
        <v>84</v>
      </c>
      <c r="D91" s="1026" t="s">
        <v>76</v>
      </c>
      <c r="E91" s="829">
        <v>14868</v>
      </c>
      <c r="F91" s="827">
        <v>20277.5</v>
      </c>
      <c r="G91" s="206">
        <f>3809.5+29.14+1159.256</f>
        <v>4997.8959999999997</v>
      </c>
      <c r="H91" s="209">
        <f t="shared" si="2"/>
        <v>33.615119720204461</v>
      </c>
      <c r="I91" s="210">
        <f t="shared" si="3"/>
        <v>24.647495993095795</v>
      </c>
      <c r="M91" s="1033"/>
    </row>
    <row r="92" spans="1:13" ht="14.1" customHeight="1" x14ac:dyDescent="0.25">
      <c r="A92" s="839"/>
      <c r="B92" s="1024"/>
      <c r="C92" s="816" t="s">
        <v>268</v>
      </c>
      <c r="D92" s="1026"/>
      <c r="E92" s="830">
        <v>2553</v>
      </c>
      <c r="F92" s="267">
        <v>2553</v>
      </c>
      <c r="G92" s="224">
        <v>1277</v>
      </c>
      <c r="H92" s="236">
        <f t="shared" si="2"/>
        <v>50.019584802193492</v>
      </c>
      <c r="I92" s="237">
        <f t="shared" si="3"/>
        <v>50.019584802193492</v>
      </c>
      <c r="M92" s="1034"/>
    </row>
    <row r="93" spans="1:13" ht="14.1" customHeight="1" x14ac:dyDescent="0.25">
      <c r="A93" s="839"/>
      <c r="B93" s="1024"/>
      <c r="C93" s="794" t="s">
        <v>273</v>
      </c>
      <c r="D93" s="1026"/>
      <c r="E93" s="830">
        <v>97</v>
      </c>
      <c r="F93" s="267">
        <v>97</v>
      </c>
      <c r="G93" s="224">
        <v>49</v>
      </c>
      <c r="H93" s="236">
        <f t="shared" si="2"/>
        <v>50.515463917525771</v>
      </c>
      <c r="I93" s="237">
        <f t="shared" si="3"/>
        <v>50.515463917525771</v>
      </c>
      <c r="M93" s="1034"/>
    </row>
    <row r="94" spans="1:13" ht="14.1" customHeight="1" x14ac:dyDescent="0.25">
      <c r="A94" s="844"/>
      <c r="B94" s="845"/>
      <c r="C94" s="794" t="s">
        <v>271</v>
      </c>
      <c r="D94" s="846"/>
      <c r="E94" s="830">
        <v>553</v>
      </c>
      <c r="F94" s="267">
        <v>553</v>
      </c>
      <c r="G94" s="224">
        <v>277</v>
      </c>
      <c r="H94" s="236">
        <f t="shared" si="2"/>
        <v>50.090415913200722</v>
      </c>
      <c r="I94" s="237">
        <f t="shared" si="3"/>
        <v>50.090415913200722</v>
      </c>
      <c r="M94" s="1034"/>
    </row>
    <row r="95" spans="1:13" ht="14.1" customHeight="1" x14ac:dyDescent="0.25">
      <c r="A95" s="844"/>
      <c r="B95" s="845"/>
      <c r="C95" s="794" t="s">
        <v>296</v>
      </c>
      <c r="D95" s="846"/>
      <c r="E95" s="830">
        <v>1000</v>
      </c>
      <c r="F95" s="267">
        <v>1000</v>
      </c>
      <c r="G95" s="224">
        <v>500</v>
      </c>
      <c r="H95" s="236">
        <f t="shared" si="2"/>
        <v>50</v>
      </c>
      <c r="I95" s="237">
        <f t="shared" si="3"/>
        <v>50</v>
      </c>
      <c r="M95" s="1034"/>
    </row>
    <row r="96" spans="1:13" ht="14.1" customHeight="1" x14ac:dyDescent="0.25">
      <c r="A96" s="844"/>
      <c r="B96" s="845"/>
      <c r="C96" s="794" t="s">
        <v>297</v>
      </c>
      <c r="D96" s="846"/>
      <c r="E96" s="830">
        <v>7260</v>
      </c>
      <c r="F96" s="267">
        <v>7260</v>
      </c>
      <c r="G96" s="224">
        <v>0</v>
      </c>
      <c r="H96" s="236">
        <f t="shared" si="2"/>
        <v>0</v>
      </c>
      <c r="I96" s="237">
        <f t="shared" si="3"/>
        <v>0</v>
      </c>
      <c r="M96" s="1034"/>
    </row>
    <row r="97" spans="1:13" s="382" customFormat="1" ht="14.1" customHeight="1" x14ac:dyDescent="0.25">
      <c r="A97" s="1015"/>
      <c r="B97" s="1024" t="s">
        <v>85</v>
      </c>
      <c r="C97" s="1025" t="s">
        <v>86</v>
      </c>
      <c r="D97" s="1026" t="s">
        <v>76</v>
      </c>
      <c r="E97" s="904">
        <v>3359</v>
      </c>
      <c r="F97" s="905">
        <v>5349.7</v>
      </c>
      <c r="G97" s="206">
        <f>1758.6+21.9+139.2</f>
        <v>1919.7</v>
      </c>
      <c r="H97" s="209">
        <f t="shared" si="2"/>
        <v>57.150937779100921</v>
      </c>
      <c r="I97" s="210">
        <f t="shared" si="3"/>
        <v>35.884255191879923</v>
      </c>
      <c r="M97" s="1033"/>
    </row>
    <row r="98" spans="1:13" ht="14.1" customHeight="1" x14ac:dyDescent="0.25">
      <c r="A98" s="839"/>
      <c r="B98" s="1024"/>
      <c r="C98" s="816" t="s">
        <v>268</v>
      </c>
      <c r="D98" s="1026"/>
      <c r="E98" s="830">
        <v>1553</v>
      </c>
      <c r="F98" s="267">
        <v>1553</v>
      </c>
      <c r="G98" s="224">
        <v>777</v>
      </c>
      <c r="H98" s="236">
        <f t="shared" si="2"/>
        <v>50.03219575016098</v>
      </c>
      <c r="I98" s="237">
        <f t="shared" si="3"/>
        <v>50.03219575016098</v>
      </c>
      <c r="M98" s="1034"/>
    </row>
    <row r="99" spans="1:13" ht="14.1" customHeight="1" x14ac:dyDescent="0.25">
      <c r="A99" s="839"/>
      <c r="B99" s="1024"/>
      <c r="C99" s="794" t="s">
        <v>273</v>
      </c>
      <c r="D99" s="1026"/>
      <c r="E99" s="830">
        <v>45</v>
      </c>
      <c r="F99" s="267">
        <v>45</v>
      </c>
      <c r="G99" s="224">
        <v>23</v>
      </c>
      <c r="H99" s="236">
        <f t="shared" si="2"/>
        <v>51.111111111111107</v>
      </c>
      <c r="I99" s="237">
        <f t="shared" si="3"/>
        <v>51.111111111111107</v>
      </c>
      <c r="M99" s="1034"/>
    </row>
    <row r="100" spans="1:13" ht="14.1" customHeight="1" x14ac:dyDescent="0.25">
      <c r="A100" s="839"/>
      <c r="B100" s="1024"/>
      <c r="C100" s="794" t="s">
        <v>271</v>
      </c>
      <c r="D100" s="1026"/>
      <c r="E100" s="830">
        <v>789</v>
      </c>
      <c r="F100" s="267">
        <v>789</v>
      </c>
      <c r="G100" s="224">
        <v>395</v>
      </c>
      <c r="H100" s="236">
        <f t="shared" si="2"/>
        <v>50.063371356147023</v>
      </c>
      <c r="I100" s="237">
        <f t="shared" si="3"/>
        <v>50.063371356147023</v>
      </c>
      <c r="M100" s="1034"/>
    </row>
    <row r="101" spans="1:13" s="382" customFormat="1" ht="14.1" customHeight="1" x14ac:dyDescent="0.25">
      <c r="A101" s="1015"/>
      <c r="B101" s="1024" t="s">
        <v>87</v>
      </c>
      <c r="C101" s="1025" t="s">
        <v>226</v>
      </c>
      <c r="D101" s="1026" t="s">
        <v>76</v>
      </c>
      <c r="E101" s="829">
        <v>5408</v>
      </c>
      <c r="F101" s="827">
        <v>8209.1</v>
      </c>
      <c r="G101" s="206">
        <f>53.1+2709.5</f>
        <v>2762.6</v>
      </c>
      <c r="H101" s="209">
        <f t="shared" si="2"/>
        <v>51.083579881656803</v>
      </c>
      <c r="I101" s="210">
        <f t="shared" si="3"/>
        <v>33.652897394355044</v>
      </c>
      <c r="M101" s="1033"/>
    </row>
    <row r="102" spans="1:13" ht="14.1" customHeight="1" x14ac:dyDescent="0.25">
      <c r="A102" s="839"/>
      <c r="B102" s="840"/>
      <c r="C102" s="843" t="s">
        <v>268</v>
      </c>
      <c r="D102" s="842"/>
      <c r="E102" s="830">
        <v>2301</v>
      </c>
      <c r="F102" s="267">
        <v>2301</v>
      </c>
      <c r="G102" s="224">
        <v>1151</v>
      </c>
      <c r="H102" s="236">
        <f t="shared" si="2"/>
        <v>50.021729682746631</v>
      </c>
      <c r="I102" s="237">
        <f t="shared" si="3"/>
        <v>50.021729682746631</v>
      </c>
      <c r="M102" s="1034"/>
    </row>
    <row r="103" spans="1:13" ht="14.1" customHeight="1" x14ac:dyDescent="0.25">
      <c r="A103" s="839"/>
      <c r="B103" s="840"/>
      <c r="C103" s="794" t="s">
        <v>273</v>
      </c>
      <c r="D103" s="842"/>
      <c r="E103" s="830">
        <v>87</v>
      </c>
      <c r="F103" s="267">
        <v>87</v>
      </c>
      <c r="G103" s="224">
        <v>44</v>
      </c>
      <c r="H103" s="236">
        <f t="shared" si="2"/>
        <v>50.574712643678168</v>
      </c>
      <c r="I103" s="237">
        <f t="shared" si="3"/>
        <v>50.574712643678168</v>
      </c>
      <c r="M103" s="1034"/>
    </row>
    <row r="104" spans="1:13" ht="13.5" customHeight="1" thickBot="1" x14ac:dyDescent="0.3">
      <c r="A104" s="847"/>
      <c r="B104" s="848"/>
      <c r="C104" s="805" t="s">
        <v>271</v>
      </c>
      <c r="D104" s="849"/>
      <c r="E104" s="831">
        <v>453</v>
      </c>
      <c r="F104" s="268">
        <v>453</v>
      </c>
      <c r="G104" s="232">
        <v>227</v>
      </c>
      <c r="H104" s="269">
        <f t="shared" si="2"/>
        <v>50.110375275938189</v>
      </c>
      <c r="I104" s="270">
        <f t="shared" si="3"/>
        <v>50.110375275938189</v>
      </c>
      <c r="M104" s="1034"/>
    </row>
    <row r="105" spans="1:13" ht="12.95" customHeight="1" x14ac:dyDescent="0.25">
      <c r="A105" s="850"/>
      <c r="B105" s="851"/>
      <c r="C105" s="239"/>
      <c r="D105" s="240"/>
      <c r="E105" s="832"/>
      <c r="F105" s="241"/>
      <c r="M105" s="1035"/>
    </row>
    <row r="106" spans="1:13" ht="12.95" customHeight="1" x14ac:dyDescent="0.25">
      <c r="A106" s="850"/>
      <c r="B106" s="851"/>
      <c r="C106" s="239"/>
      <c r="D106" s="240"/>
      <c r="E106" s="832"/>
      <c r="F106" s="241"/>
      <c r="M106" s="1034"/>
    </row>
    <row r="107" spans="1:13" ht="12.95" customHeight="1" thickBot="1" x14ac:dyDescent="0.3">
      <c r="A107" s="238"/>
      <c r="B107" s="238"/>
      <c r="C107" s="239"/>
      <c r="D107" s="240"/>
      <c r="E107" s="807"/>
      <c r="F107" s="101"/>
      <c r="I107" s="105" t="s">
        <v>513</v>
      </c>
      <c r="M107" s="1034"/>
    </row>
    <row r="108" spans="1:13" ht="12.95" customHeight="1" x14ac:dyDescent="0.25">
      <c r="A108" s="9" t="s">
        <v>1</v>
      </c>
      <c r="B108" s="10" t="s">
        <v>2</v>
      </c>
      <c r="C108" s="11" t="s">
        <v>3</v>
      </c>
      <c r="D108" s="12"/>
      <c r="E108" s="24" t="s">
        <v>4</v>
      </c>
      <c r="F108" s="96" t="s">
        <v>326</v>
      </c>
      <c r="G108" s="110" t="s">
        <v>320</v>
      </c>
      <c r="H108" s="106" t="s">
        <v>322</v>
      </c>
      <c r="I108" s="265" t="s">
        <v>322</v>
      </c>
      <c r="M108" s="1034"/>
    </row>
    <row r="109" spans="1:13" ht="12.95" customHeight="1" x14ac:dyDescent="0.25">
      <c r="A109" s="13" t="s">
        <v>5</v>
      </c>
      <c r="B109" s="14" t="s">
        <v>6</v>
      </c>
      <c r="C109" s="15" t="s">
        <v>7</v>
      </c>
      <c r="D109" s="16" t="s">
        <v>8</v>
      </c>
      <c r="E109" s="25" t="s">
        <v>265</v>
      </c>
      <c r="F109" s="97" t="s">
        <v>327</v>
      </c>
      <c r="G109" s="111" t="s">
        <v>321</v>
      </c>
      <c r="H109" s="108" t="s">
        <v>323</v>
      </c>
      <c r="I109" s="266" t="s">
        <v>324</v>
      </c>
      <c r="M109" s="1035"/>
    </row>
    <row r="110" spans="1:13" ht="12.95" customHeight="1" thickBot="1" x14ac:dyDescent="0.3">
      <c r="A110" s="17" t="s">
        <v>9</v>
      </c>
      <c r="B110" s="808" t="s">
        <v>10</v>
      </c>
      <c r="C110" s="18"/>
      <c r="D110" s="19"/>
      <c r="E110" s="26" t="s">
        <v>292</v>
      </c>
      <c r="F110" s="551">
        <v>43646</v>
      </c>
      <c r="G110" s="551">
        <v>43646</v>
      </c>
      <c r="H110" s="108" t="s">
        <v>235</v>
      </c>
      <c r="I110" s="266" t="s">
        <v>235</v>
      </c>
      <c r="M110" s="1034"/>
    </row>
    <row r="111" spans="1:13" s="382" customFormat="1" ht="14.1" customHeight="1" x14ac:dyDescent="0.25">
      <c r="A111" s="1016"/>
      <c r="B111" s="852" t="s">
        <v>88</v>
      </c>
      <c r="C111" s="853" t="s">
        <v>89</v>
      </c>
      <c r="D111" s="854" t="s">
        <v>76</v>
      </c>
      <c r="E111" s="904">
        <v>5463</v>
      </c>
      <c r="F111" s="828">
        <v>7919.7</v>
      </c>
      <c r="G111" s="1027">
        <v>2737</v>
      </c>
      <c r="H111" s="814">
        <f t="shared" ref="H111" si="4">G111/E111*100</f>
        <v>50.100677283543838</v>
      </c>
      <c r="I111" s="815">
        <f t="shared" ref="I111" si="5">G111/F111*100</f>
        <v>34.559389875879134</v>
      </c>
      <c r="M111" s="1036"/>
    </row>
    <row r="112" spans="1:13" ht="14.1" customHeight="1" x14ac:dyDescent="0.25">
      <c r="A112" s="839"/>
      <c r="B112" s="840"/>
      <c r="C112" s="843" t="s">
        <v>268</v>
      </c>
      <c r="D112" s="842"/>
      <c r="E112" s="830">
        <v>2322</v>
      </c>
      <c r="F112" s="267">
        <v>2322</v>
      </c>
      <c r="G112" s="271">
        <v>1161</v>
      </c>
      <c r="H112" s="236">
        <f t="shared" ref="H112:H143" si="6">G112/E112*100</f>
        <v>50</v>
      </c>
      <c r="I112" s="237">
        <f t="shared" ref="I112:I143" si="7">G112/F112*100</f>
        <v>50</v>
      </c>
      <c r="M112" s="1034"/>
    </row>
    <row r="113" spans="1:13" ht="14.1" customHeight="1" x14ac:dyDescent="0.25">
      <c r="A113" s="839"/>
      <c r="B113" s="840"/>
      <c r="C113" s="794" t="s">
        <v>273</v>
      </c>
      <c r="D113" s="842"/>
      <c r="E113" s="830">
        <v>94</v>
      </c>
      <c r="F113" s="267">
        <v>94</v>
      </c>
      <c r="G113" s="272">
        <v>47</v>
      </c>
      <c r="H113" s="236">
        <f t="shared" si="6"/>
        <v>50</v>
      </c>
      <c r="I113" s="237">
        <f t="shared" si="7"/>
        <v>50</v>
      </c>
      <c r="M113" s="1035"/>
    </row>
    <row r="114" spans="1:13" ht="14.1" customHeight="1" x14ac:dyDescent="0.25">
      <c r="A114" s="839"/>
      <c r="B114" s="840"/>
      <c r="C114" s="794" t="s">
        <v>271</v>
      </c>
      <c r="D114" s="842"/>
      <c r="E114" s="830">
        <v>370</v>
      </c>
      <c r="F114" s="267">
        <v>370</v>
      </c>
      <c r="G114" s="272">
        <v>185</v>
      </c>
      <c r="H114" s="236">
        <f t="shared" si="6"/>
        <v>50</v>
      </c>
      <c r="I114" s="237">
        <f t="shared" si="7"/>
        <v>50</v>
      </c>
      <c r="M114" s="1034"/>
    </row>
    <row r="115" spans="1:13" s="382" customFormat="1" ht="14.1" customHeight="1" x14ac:dyDescent="0.25">
      <c r="A115" s="1015"/>
      <c r="B115" s="840" t="s">
        <v>90</v>
      </c>
      <c r="C115" s="841" t="s">
        <v>91</v>
      </c>
      <c r="D115" s="842" t="s">
        <v>76</v>
      </c>
      <c r="E115" s="829">
        <v>6518</v>
      </c>
      <c r="F115" s="827">
        <v>8772.6</v>
      </c>
      <c r="G115" s="833">
        <f>3264.5+55</f>
        <v>3319.5</v>
      </c>
      <c r="H115" s="209">
        <f t="shared" si="6"/>
        <v>50.92819883399816</v>
      </c>
      <c r="I115" s="210">
        <f t="shared" si="7"/>
        <v>37.839409069147116</v>
      </c>
      <c r="M115" s="1036"/>
    </row>
    <row r="116" spans="1:13" ht="14.1" customHeight="1" x14ac:dyDescent="0.25">
      <c r="A116" s="839"/>
      <c r="B116" s="840"/>
      <c r="C116" s="843" t="s">
        <v>268</v>
      </c>
      <c r="D116" s="842"/>
      <c r="E116" s="830">
        <v>2564</v>
      </c>
      <c r="F116" s="267">
        <v>2564</v>
      </c>
      <c r="G116" s="272">
        <v>1282</v>
      </c>
      <c r="H116" s="236">
        <f t="shared" si="6"/>
        <v>50</v>
      </c>
      <c r="I116" s="237">
        <f t="shared" si="7"/>
        <v>50</v>
      </c>
      <c r="M116" s="1034"/>
    </row>
    <row r="117" spans="1:13" ht="14.1" customHeight="1" x14ac:dyDescent="0.25">
      <c r="A117" s="839"/>
      <c r="B117" s="840"/>
      <c r="C117" s="794" t="s">
        <v>273</v>
      </c>
      <c r="D117" s="842"/>
      <c r="E117" s="830">
        <v>66</v>
      </c>
      <c r="F117" s="267">
        <v>66</v>
      </c>
      <c r="G117" s="272">
        <v>33</v>
      </c>
      <c r="H117" s="236">
        <f t="shared" si="6"/>
        <v>50</v>
      </c>
      <c r="I117" s="237">
        <f t="shared" si="7"/>
        <v>50</v>
      </c>
      <c r="M117" s="1035"/>
    </row>
    <row r="118" spans="1:13" ht="14.1" customHeight="1" x14ac:dyDescent="0.25">
      <c r="A118" s="839"/>
      <c r="B118" s="840"/>
      <c r="C118" s="794" t="s">
        <v>271</v>
      </c>
      <c r="D118" s="842"/>
      <c r="E118" s="830">
        <v>1851</v>
      </c>
      <c r="F118" s="267">
        <v>1851</v>
      </c>
      <c r="G118" s="272">
        <v>926</v>
      </c>
      <c r="H118" s="236">
        <f t="shared" si="6"/>
        <v>50.027012425715832</v>
      </c>
      <c r="I118" s="237">
        <f t="shared" si="7"/>
        <v>50.027012425715832</v>
      </c>
      <c r="M118" s="1034"/>
    </row>
    <row r="119" spans="1:13" s="382" customFormat="1" ht="14.1" customHeight="1" x14ac:dyDescent="0.25">
      <c r="A119" s="1015"/>
      <c r="B119" s="840" t="s">
        <v>92</v>
      </c>
      <c r="C119" s="841" t="s">
        <v>93</v>
      </c>
      <c r="D119" s="842" t="s">
        <v>76</v>
      </c>
      <c r="E119" s="829">
        <v>4698</v>
      </c>
      <c r="F119" s="827">
        <v>6663</v>
      </c>
      <c r="G119" s="833">
        <f>2362.473+37.3+53.14288</f>
        <v>2452.91588</v>
      </c>
      <c r="H119" s="209">
        <f t="shared" si="6"/>
        <v>52.211917411664544</v>
      </c>
      <c r="I119" s="210">
        <f t="shared" si="7"/>
        <v>36.81398589224073</v>
      </c>
      <c r="M119" s="1036"/>
    </row>
    <row r="120" spans="1:13" ht="14.1" customHeight="1" x14ac:dyDescent="0.25">
      <c r="A120" s="839"/>
      <c r="B120" s="840"/>
      <c r="C120" s="843" t="s">
        <v>268</v>
      </c>
      <c r="D120" s="842"/>
      <c r="E120" s="830">
        <v>2436</v>
      </c>
      <c r="F120" s="267">
        <v>2436</v>
      </c>
      <c r="G120" s="272">
        <v>1218</v>
      </c>
      <c r="H120" s="236">
        <f t="shared" si="6"/>
        <v>50</v>
      </c>
      <c r="I120" s="237">
        <f t="shared" si="7"/>
        <v>50</v>
      </c>
      <c r="M120" s="1034"/>
    </row>
    <row r="121" spans="1:13" ht="14.1" customHeight="1" x14ac:dyDescent="0.25">
      <c r="A121" s="839"/>
      <c r="B121" s="840"/>
      <c r="C121" s="794" t="s">
        <v>273</v>
      </c>
      <c r="D121" s="842"/>
      <c r="E121" s="830">
        <v>55</v>
      </c>
      <c r="F121" s="267">
        <v>55</v>
      </c>
      <c r="G121" s="272">
        <v>28</v>
      </c>
      <c r="H121" s="236">
        <f t="shared" si="6"/>
        <v>50.909090909090907</v>
      </c>
      <c r="I121" s="237">
        <f t="shared" si="7"/>
        <v>50.909090909090907</v>
      </c>
      <c r="M121" s="1034"/>
    </row>
    <row r="122" spans="1:13" ht="14.1" customHeight="1" x14ac:dyDescent="0.25">
      <c r="A122" s="839"/>
      <c r="B122" s="840"/>
      <c r="C122" s="794" t="s">
        <v>271</v>
      </c>
      <c r="D122" s="842"/>
      <c r="E122" s="830">
        <v>585</v>
      </c>
      <c r="F122" s="267">
        <v>585</v>
      </c>
      <c r="G122" s="272">
        <v>293</v>
      </c>
      <c r="H122" s="236">
        <f t="shared" si="6"/>
        <v>50.085470085470085</v>
      </c>
      <c r="I122" s="237">
        <f t="shared" si="7"/>
        <v>50.085470085470085</v>
      </c>
      <c r="M122" s="1035"/>
    </row>
    <row r="123" spans="1:13" s="382" customFormat="1" ht="14.1" customHeight="1" x14ac:dyDescent="0.25">
      <c r="A123" s="1015"/>
      <c r="B123" s="840" t="s">
        <v>94</v>
      </c>
      <c r="C123" s="841" t="s">
        <v>95</v>
      </c>
      <c r="D123" s="842" t="s">
        <v>76</v>
      </c>
      <c r="E123" s="829">
        <v>6822</v>
      </c>
      <c r="F123" s="827">
        <v>10201.799999999999</v>
      </c>
      <c r="G123" s="833">
        <f>4157.5+85.3</f>
        <v>4242.8</v>
      </c>
      <c r="H123" s="209">
        <f t="shared" si="6"/>
        <v>62.19290530636178</v>
      </c>
      <c r="I123" s="210">
        <f t="shared" si="7"/>
        <v>41.588739242094533</v>
      </c>
      <c r="M123" s="1036"/>
    </row>
    <row r="124" spans="1:13" ht="14.1" customHeight="1" x14ac:dyDescent="0.25">
      <c r="A124" s="839"/>
      <c r="B124" s="840"/>
      <c r="C124" s="843" t="s">
        <v>268</v>
      </c>
      <c r="D124" s="842"/>
      <c r="E124" s="830">
        <v>2839</v>
      </c>
      <c r="F124" s="267">
        <v>2839</v>
      </c>
      <c r="G124" s="272">
        <v>1420</v>
      </c>
      <c r="H124" s="236">
        <f t="shared" si="6"/>
        <v>50.017611835153218</v>
      </c>
      <c r="I124" s="237">
        <f t="shared" si="7"/>
        <v>50.017611835153218</v>
      </c>
      <c r="M124" s="1034"/>
    </row>
    <row r="125" spans="1:13" ht="14.1" customHeight="1" x14ac:dyDescent="0.25">
      <c r="A125" s="839"/>
      <c r="B125" s="840"/>
      <c r="C125" s="794" t="s">
        <v>273</v>
      </c>
      <c r="D125" s="842"/>
      <c r="E125" s="830">
        <v>101</v>
      </c>
      <c r="F125" s="267">
        <v>101</v>
      </c>
      <c r="G125" s="272">
        <v>51</v>
      </c>
      <c r="H125" s="236">
        <f t="shared" si="6"/>
        <v>50.495049504950494</v>
      </c>
      <c r="I125" s="237">
        <f t="shared" si="7"/>
        <v>50.495049504950494</v>
      </c>
      <c r="M125" s="1034"/>
    </row>
    <row r="126" spans="1:13" ht="14.1" customHeight="1" x14ac:dyDescent="0.25">
      <c r="A126" s="839"/>
      <c r="B126" s="840"/>
      <c r="C126" s="794" t="s">
        <v>255</v>
      </c>
      <c r="D126" s="842"/>
      <c r="E126" s="830">
        <v>300</v>
      </c>
      <c r="F126" s="267">
        <v>300</v>
      </c>
      <c r="G126" s="272">
        <v>150</v>
      </c>
      <c r="H126" s="236">
        <f t="shared" si="6"/>
        <v>50</v>
      </c>
      <c r="I126" s="237">
        <f t="shared" si="7"/>
        <v>50</v>
      </c>
      <c r="M126" s="1035"/>
    </row>
    <row r="127" spans="1:13" ht="14.1" customHeight="1" x14ac:dyDescent="0.25">
      <c r="A127" s="839"/>
      <c r="B127" s="840"/>
      <c r="C127" s="794" t="s">
        <v>272</v>
      </c>
      <c r="D127" s="842"/>
      <c r="E127" s="830">
        <v>738</v>
      </c>
      <c r="F127" s="267">
        <v>738</v>
      </c>
      <c r="G127" s="272">
        <v>369</v>
      </c>
      <c r="H127" s="236">
        <f t="shared" si="6"/>
        <v>50</v>
      </c>
      <c r="I127" s="237">
        <f t="shared" si="7"/>
        <v>50</v>
      </c>
      <c r="M127" s="1034"/>
    </row>
    <row r="128" spans="1:13" s="382" customFormat="1" ht="14.1" customHeight="1" x14ac:dyDescent="0.25">
      <c r="A128" s="1015"/>
      <c r="B128" s="840" t="s">
        <v>96</v>
      </c>
      <c r="C128" s="841" t="s">
        <v>97</v>
      </c>
      <c r="D128" s="842" t="s">
        <v>76</v>
      </c>
      <c r="E128" s="829">
        <v>6732</v>
      </c>
      <c r="F128" s="827">
        <v>9094.6</v>
      </c>
      <c r="G128" s="833">
        <f>47.2+3371.5</f>
        <v>3418.7</v>
      </c>
      <c r="H128" s="209">
        <f t="shared" si="6"/>
        <v>50.782828282828284</v>
      </c>
      <c r="I128" s="210">
        <f t="shared" si="7"/>
        <v>37.590438282057484</v>
      </c>
      <c r="M128" s="1036"/>
    </row>
    <row r="129" spans="1:13" ht="14.1" customHeight="1" x14ac:dyDescent="0.25">
      <c r="A129" s="839"/>
      <c r="B129" s="840"/>
      <c r="C129" s="843" t="s">
        <v>268</v>
      </c>
      <c r="D129" s="842"/>
      <c r="E129" s="830">
        <v>1790</v>
      </c>
      <c r="F129" s="267">
        <v>1790</v>
      </c>
      <c r="G129" s="272">
        <v>895</v>
      </c>
      <c r="H129" s="236">
        <f t="shared" si="6"/>
        <v>50</v>
      </c>
      <c r="I129" s="237">
        <f t="shared" si="7"/>
        <v>50</v>
      </c>
      <c r="M129" s="1034"/>
    </row>
    <row r="130" spans="1:13" ht="14.1" customHeight="1" x14ac:dyDescent="0.25">
      <c r="A130" s="839"/>
      <c r="B130" s="840"/>
      <c r="C130" s="794" t="s">
        <v>273</v>
      </c>
      <c r="D130" s="842"/>
      <c r="E130" s="830">
        <v>83</v>
      </c>
      <c r="F130" s="267">
        <v>83</v>
      </c>
      <c r="G130" s="272">
        <v>42</v>
      </c>
      <c r="H130" s="236">
        <f t="shared" si="6"/>
        <v>50.602409638554214</v>
      </c>
      <c r="I130" s="237">
        <f t="shared" si="7"/>
        <v>50.602409638554214</v>
      </c>
      <c r="M130" s="1035"/>
    </row>
    <row r="131" spans="1:13" ht="14.1" customHeight="1" x14ac:dyDescent="0.25">
      <c r="A131" s="839"/>
      <c r="B131" s="840"/>
      <c r="C131" s="794" t="s">
        <v>271</v>
      </c>
      <c r="D131" s="842"/>
      <c r="E131" s="830">
        <v>2856</v>
      </c>
      <c r="F131" s="267">
        <v>2856</v>
      </c>
      <c r="G131" s="272">
        <v>1428</v>
      </c>
      <c r="H131" s="236">
        <f t="shared" si="6"/>
        <v>50</v>
      </c>
      <c r="I131" s="237">
        <f t="shared" si="7"/>
        <v>50</v>
      </c>
      <c r="M131" s="1034"/>
    </row>
    <row r="132" spans="1:13" s="382" customFormat="1" ht="14.1" customHeight="1" x14ac:dyDescent="0.25">
      <c r="A132" s="1015"/>
      <c r="B132" s="840" t="s">
        <v>98</v>
      </c>
      <c r="C132" s="841" t="s">
        <v>99</v>
      </c>
      <c r="D132" s="842" t="s">
        <v>76</v>
      </c>
      <c r="E132" s="829">
        <v>9211</v>
      </c>
      <c r="F132" s="827">
        <v>12172.6</v>
      </c>
      <c r="G132" s="833">
        <f>84+4611</f>
        <v>4695</v>
      </c>
      <c r="H132" s="209">
        <f t="shared" si="6"/>
        <v>50.971664314406681</v>
      </c>
      <c r="I132" s="210">
        <f t="shared" si="7"/>
        <v>38.570231503540739</v>
      </c>
      <c r="M132" s="1036"/>
    </row>
    <row r="133" spans="1:13" ht="14.1" customHeight="1" x14ac:dyDescent="0.25">
      <c r="A133" s="839"/>
      <c r="B133" s="840"/>
      <c r="C133" s="843" t="s">
        <v>268</v>
      </c>
      <c r="D133" s="842"/>
      <c r="E133" s="830">
        <v>3681</v>
      </c>
      <c r="F133" s="267">
        <v>3681</v>
      </c>
      <c r="G133" s="272">
        <v>1841</v>
      </c>
      <c r="H133" s="236">
        <f t="shared" si="6"/>
        <v>50.013583265417004</v>
      </c>
      <c r="I133" s="237">
        <f t="shared" si="7"/>
        <v>50.013583265417004</v>
      </c>
      <c r="M133" s="1034"/>
    </row>
    <row r="134" spans="1:13" ht="14.1" customHeight="1" x14ac:dyDescent="0.25">
      <c r="A134" s="839"/>
      <c r="B134" s="840"/>
      <c r="C134" s="794" t="s">
        <v>273</v>
      </c>
      <c r="D134" s="842"/>
      <c r="E134" s="830">
        <v>90</v>
      </c>
      <c r="F134" s="267">
        <v>90</v>
      </c>
      <c r="G134" s="272">
        <v>45</v>
      </c>
      <c r="H134" s="236">
        <f t="shared" si="6"/>
        <v>50</v>
      </c>
      <c r="I134" s="237">
        <f t="shared" si="7"/>
        <v>50</v>
      </c>
      <c r="M134" s="1035"/>
    </row>
    <row r="135" spans="1:13" ht="14.1" customHeight="1" x14ac:dyDescent="0.25">
      <c r="A135" s="839"/>
      <c r="B135" s="840"/>
      <c r="C135" s="794" t="s">
        <v>271</v>
      </c>
      <c r="D135" s="842"/>
      <c r="E135" s="830">
        <v>2634</v>
      </c>
      <c r="F135" s="267">
        <v>2634</v>
      </c>
      <c r="G135" s="272">
        <v>1317</v>
      </c>
      <c r="H135" s="236">
        <f t="shared" si="6"/>
        <v>50</v>
      </c>
      <c r="I135" s="237">
        <f t="shared" si="7"/>
        <v>50</v>
      </c>
      <c r="M135" s="1034"/>
    </row>
    <row r="136" spans="1:13" s="382" customFormat="1" ht="14.1" customHeight="1" x14ac:dyDescent="0.25">
      <c r="A136" s="1015"/>
      <c r="B136" s="840" t="s">
        <v>100</v>
      </c>
      <c r="C136" s="841" t="s">
        <v>101</v>
      </c>
      <c r="D136" s="842" t="s">
        <v>76</v>
      </c>
      <c r="E136" s="829">
        <v>7584</v>
      </c>
      <c r="F136" s="827">
        <v>11251.1</v>
      </c>
      <c r="G136" s="833">
        <f>47.2+3797.5+139.2</f>
        <v>3983.8999999999996</v>
      </c>
      <c r="H136" s="209">
        <f t="shared" si="6"/>
        <v>52.530327004219401</v>
      </c>
      <c r="I136" s="210">
        <f t="shared" si="7"/>
        <v>35.408982232848338</v>
      </c>
      <c r="M136" s="1036"/>
    </row>
    <row r="137" spans="1:13" ht="14.1" customHeight="1" x14ac:dyDescent="0.25">
      <c r="A137" s="839"/>
      <c r="B137" s="840"/>
      <c r="C137" s="843" t="s">
        <v>268</v>
      </c>
      <c r="D137" s="842"/>
      <c r="E137" s="830">
        <v>3500</v>
      </c>
      <c r="F137" s="267">
        <v>3500</v>
      </c>
      <c r="G137" s="272">
        <v>1750</v>
      </c>
      <c r="H137" s="236">
        <f t="shared" si="6"/>
        <v>50</v>
      </c>
      <c r="I137" s="237">
        <f t="shared" si="7"/>
        <v>50</v>
      </c>
      <c r="M137" s="1034"/>
    </row>
    <row r="138" spans="1:13" ht="14.1" customHeight="1" x14ac:dyDescent="0.25">
      <c r="A138" s="839"/>
      <c r="B138" s="840"/>
      <c r="C138" s="794" t="s">
        <v>273</v>
      </c>
      <c r="D138" s="842"/>
      <c r="E138" s="830">
        <v>114</v>
      </c>
      <c r="F138" s="267">
        <v>114</v>
      </c>
      <c r="G138" s="272">
        <v>57</v>
      </c>
      <c r="H138" s="236">
        <f t="shared" si="6"/>
        <v>50</v>
      </c>
      <c r="I138" s="237">
        <f t="shared" si="7"/>
        <v>50</v>
      </c>
      <c r="M138" s="1037"/>
    </row>
    <row r="139" spans="1:13" ht="14.1" customHeight="1" x14ac:dyDescent="0.25">
      <c r="A139" s="839"/>
      <c r="B139" s="840"/>
      <c r="C139" s="794" t="s">
        <v>271</v>
      </c>
      <c r="D139" s="842"/>
      <c r="E139" s="830">
        <v>619</v>
      </c>
      <c r="F139" s="267">
        <v>619</v>
      </c>
      <c r="G139" s="272">
        <v>310</v>
      </c>
      <c r="H139" s="236">
        <f t="shared" si="6"/>
        <v>50.080775444264944</v>
      </c>
      <c r="I139" s="237">
        <f t="shared" si="7"/>
        <v>50.080775444264944</v>
      </c>
    </row>
    <row r="140" spans="1:13" s="382" customFormat="1" ht="14.1" customHeight="1" x14ac:dyDescent="0.25">
      <c r="A140" s="839"/>
      <c r="B140" s="840" t="s">
        <v>102</v>
      </c>
      <c r="C140" s="841" t="s">
        <v>103</v>
      </c>
      <c r="D140" s="842" t="s">
        <v>76</v>
      </c>
      <c r="E140" s="904">
        <v>8233</v>
      </c>
      <c r="F140" s="905">
        <v>11532.6</v>
      </c>
      <c r="G140" s="833">
        <f>4122</f>
        <v>4122</v>
      </c>
      <c r="H140" s="209">
        <f t="shared" si="6"/>
        <v>50.0668043240617</v>
      </c>
      <c r="I140" s="210">
        <f t="shared" si="7"/>
        <v>35.742157015764008</v>
      </c>
      <c r="M140" s="1038"/>
    </row>
    <row r="141" spans="1:13" ht="14.1" customHeight="1" x14ac:dyDescent="0.25">
      <c r="A141" s="839"/>
      <c r="B141" s="840"/>
      <c r="C141" s="843" t="s">
        <v>268</v>
      </c>
      <c r="D141" s="842"/>
      <c r="E141" s="830">
        <v>3736</v>
      </c>
      <c r="F141" s="267">
        <v>3736</v>
      </c>
      <c r="G141" s="272">
        <v>1868</v>
      </c>
      <c r="H141" s="236">
        <f t="shared" si="6"/>
        <v>50</v>
      </c>
      <c r="I141" s="237">
        <f t="shared" si="7"/>
        <v>50</v>
      </c>
    </row>
    <row r="142" spans="1:13" ht="14.1" customHeight="1" x14ac:dyDescent="0.25">
      <c r="A142" s="839"/>
      <c r="B142" s="840"/>
      <c r="C142" s="794" t="s">
        <v>273</v>
      </c>
      <c r="D142" s="842"/>
      <c r="E142" s="830">
        <v>125</v>
      </c>
      <c r="F142" s="267">
        <v>125</v>
      </c>
      <c r="G142" s="272">
        <v>63</v>
      </c>
      <c r="H142" s="236">
        <f t="shared" si="6"/>
        <v>50.4</v>
      </c>
      <c r="I142" s="237">
        <f t="shared" si="7"/>
        <v>50.4</v>
      </c>
    </row>
    <row r="143" spans="1:13" ht="14.1" customHeight="1" x14ac:dyDescent="0.25">
      <c r="A143" s="839"/>
      <c r="B143" s="840"/>
      <c r="C143" s="794" t="s">
        <v>271</v>
      </c>
      <c r="D143" s="842"/>
      <c r="E143" s="830">
        <v>748</v>
      </c>
      <c r="F143" s="267">
        <v>748</v>
      </c>
      <c r="G143" s="273">
        <v>374</v>
      </c>
      <c r="H143" s="236">
        <f t="shared" si="6"/>
        <v>50</v>
      </c>
      <c r="I143" s="237">
        <f t="shared" si="7"/>
        <v>50</v>
      </c>
    </row>
    <row r="144" spans="1:13" s="136" customFormat="1" ht="14.1" customHeight="1" x14ac:dyDescent="0.25">
      <c r="A144" s="855"/>
      <c r="B144" s="856"/>
      <c r="C144" s="857" t="s">
        <v>104</v>
      </c>
      <c r="D144" s="858" t="s">
        <v>76</v>
      </c>
      <c r="E144" s="244"/>
      <c r="F144" s="245"/>
      <c r="G144" s="244"/>
      <c r="H144" s="246"/>
      <c r="I144" s="251"/>
      <c r="M144" s="1032"/>
    </row>
    <row r="145" spans="1:13" s="136" customFormat="1" ht="14.1" customHeight="1" x14ac:dyDescent="0.25">
      <c r="A145" s="855"/>
      <c r="B145" s="856"/>
      <c r="C145" s="859"/>
      <c r="D145" s="860" t="s">
        <v>105</v>
      </c>
      <c r="E145" s="244">
        <f>SUM(E146:E148)</f>
        <v>600</v>
      </c>
      <c r="F145" s="245">
        <f>SUM(F146:F148)</f>
        <v>517.5</v>
      </c>
      <c r="G145" s="244">
        <f>SUM(G146:G148)</f>
        <v>96</v>
      </c>
      <c r="H145" s="246">
        <f>G145/E145*100</f>
        <v>16</v>
      </c>
      <c r="I145" s="251">
        <f>G145/F145*100</f>
        <v>18.55072463768116</v>
      </c>
      <c r="M145" s="1032"/>
    </row>
    <row r="146" spans="1:13" s="136" customFormat="1" ht="14.1" customHeight="1" x14ac:dyDescent="0.25">
      <c r="A146" s="855"/>
      <c r="B146" s="856"/>
      <c r="C146" s="859"/>
      <c r="D146" s="860" t="s">
        <v>104</v>
      </c>
      <c r="E146" s="818">
        <v>300</v>
      </c>
      <c r="F146" s="819">
        <v>300</v>
      </c>
      <c r="G146" s="818">
        <v>0</v>
      </c>
      <c r="H146" s="820">
        <f t="shared" ref="H146:H148" si="8">G146/E146*100</f>
        <v>0</v>
      </c>
      <c r="I146" s="821">
        <f t="shared" ref="I146:I148" si="9">G146/F146*100</f>
        <v>0</v>
      </c>
      <c r="M146" s="1032"/>
    </row>
    <row r="147" spans="1:13" s="136" customFormat="1" ht="14.1" customHeight="1" x14ac:dyDescent="0.25">
      <c r="A147" s="855"/>
      <c r="B147" s="856"/>
      <c r="C147" s="859"/>
      <c r="D147" s="860" t="s">
        <v>286</v>
      </c>
      <c r="E147" s="818">
        <v>100</v>
      </c>
      <c r="F147" s="819">
        <f>1.7+10.4+5.4</f>
        <v>17.5</v>
      </c>
      <c r="G147" s="818">
        <v>0</v>
      </c>
      <c r="H147" s="820">
        <f t="shared" si="8"/>
        <v>0</v>
      </c>
      <c r="I147" s="821">
        <f t="shared" si="9"/>
        <v>0</v>
      </c>
      <c r="M147" s="1032"/>
    </row>
    <row r="148" spans="1:13" s="136" customFormat="1" ht="14.1" customHeight="1" x14ac:dyDescent="0.25">
      <c r="A148" s="861"/>
      <c r="B148" s="862"/>
      <c r="C148" s="863"/>
      <c r="D148" s="864" t="s">
        <v>316</v>
      </c>
      <c r="E148" s="818">
        <v>200</v>
      </c>
      <c r="F148" s="819">
        <v>200</v>
      </c>
      <c r="G148" s="818">
        <v>96</v>
      </c>
      <c r="H148" s="820">
        <f t="shared" si="8"/>
        <v>48</v>
      </c>
      <c r="I148" s="821">
        <f t="shared" si="9"/>
        <v>48</v>
      </c>
      <c r="M148" s="1032"/>
    </row>
    <row r="149" spans="1:13" s="136" customFormat="1" ht="14.1" customHeight="1" x14ac:dyDescent="0.25">
      <c r="A149" s="855"/>
      <c r="B149" s="856"/>
      <c r="C149" s="865" t="s">
        <v>106</v>
      </c>
      <c r="D149" s="858" t="s">
        <v>107</v>
      </c>
      <c r="E149" s="1105">
        <v>1800</v>
      </c>
      <c r="F149" s="1104">
        <v>1022.2</v>
      </c>
      <c r="G149" s="1106">
        <v>0</v>
      </c>
      <c r="H149" s="1100">
        <f>G149/E149*100</f>
        <v>0</v>
      </c>
      <c r="I149" s="1101">
        <f>G149/F149*100</f>
        <v>0</v>
      </c>
      <c r="M149" s="1032"/>
    </row>
    <row r="150" spans="1:13" s="136" customFormat="1" ht="14.1" customHeight="1" x14ac:dyDescent="0.25">
      <c r="A150" s="861"/>
      <c r="B150" s="862"/>
      <c r="C150" s="866"/>
      <c r="D150" s="867" t="s">
        <v>108</v>
      </c>
      <c r="E150" s="1105"/>
      <c r="F150" s="1104"/>
      <c r="G150" s="1106"/>
      <c r="H150" s="1100"/>
      <c r="I150" s="1101"/>
      <c r="M150" s="1032"/>
    </row>
    <row r="151" spans="1:13" s="136" customFormat="1" ht="14.1" customHeight="1" x14ac:dyDescent="0.25">
      <c r="A151" s="868"/>
      <c r="B151" s="869" t="s">
        <v>109</v>
      </c>
      <c r="C151" s="870" t="s">
        <v>227</v>
      </c>
      <c r="D151" s="871" t="s">
        <v>228</v>
      </c>
      <c r="E151" s="247"/>
      <c r="F151" s="248"/>
      <c r="G151" s="249"/>
      <c r="H151" s="250"/>
      <c r="I151" s="252"/>
      <c r="M151" s="1032"/>
    </row>
    <row r="152" spans="1:13" s="136" customFormat="1" ht="14.1" customHeight="1" x14ac:dyDescent="0.25">
      <c r="A152" s="872"/>
      <c r="B152" s="856"/>
      <c r="C152" s="873" t="s">
        <v>229</v>
      </c>
      <c r="D152" s="865" t="s">
        <v>519</v>
      </c>
      <c r="E152" s="817">
        <v>47500</v>
      </c>
      <c r="F152" s="822">
        <f>F153</f>
        <v>53270.3</v>
      </c>
      <c r="G152" s="817">
        <f>G153</f>
        <v>29303</v>
      </c>
      <c r="H152" s="823">
        <f>G152/E152*100</f>
        <v>61.690526315789477</v>
      </c>
      <c r="I152" s="824">
        <f t="shared" ref="I152:I153" si="10">G152/F152*100</f>
        <v>55.008137742794759</v>
      </c>
      <c r="M152" s="1032"/>
    </row>
    <row r="153" spans="1:13" s="136" customFormat="1" ht="14.1" customHeight="1" x14ac:dyDescent="0.25">
      <c r="A153" s="355"/>
      <c r="B153" s="801"/>
      <c r="C153" s="874"/>
      <c r="D153" s="802" t="s">
        <v>230</v>
      </c>
      <c r="E153" s="826">
        <v>47500</v>
      </c>
      <c r="F153" s="825">
        <f>53270.3</f>
        <v>53270.3</v>
      </c>
      <c r="G153" s="826">
        <f>29303</f>
        <v>29303</v>
      </c>
      <c r="H153" s="236">
        <f t="shared" ref="H153" si="11">G153/E153*100</f>
        <v>61.690526315789477</v>
      </c>
      <c r="I153" s="824">
        <f t="shared" si="10"/>
        <v>55.008137742794759</v>
      </c>
      <c r="M153" s="1032"/>
    </row>
    <row r="154" spans="1:13" s="136" customFormat="1" ht="14.1" customHeight="1" x14ac:dyDescent="0.25">
      <c r="A154" s="478"/>
      <c r="B154" s="875"/>
      <c r="C154" s="876"/>
      <c r="D154" s="877"/>
      <c r="E154" s="247"/>
      <c r="F154" s="254"/>
      <c r="G154" s="255"/>
      <c r="H154" s="256"/>
      <c r="I154" s="257"/>
      <c r="M154" s="1032"/>
    </row>
    <row r="155" spans="1:13" s="136" customFormat="1" ht="14.1" customHeight="1" x14ac:dyDescent="0.25">
      <c r="A155" s="878" t="s">
        <v>240</v>
      </c>
      <c r="B155" s="1102" t="s">
        <v>263</v>
      </c>
      <c r="C155" s="1103"/>
      <c r="D155" s="879"/>
      <c r="E155" s="258">
        <f>E156+E158+E157</f>
        <v>2</v>
      </c>
      <c r="F155" s="1020">
        <f>F156+F158+M162+F157</f>
        <v>8502</v>
      </c>
      <c r="G155" s="258">
        <f t="shared" ref="G155" si="12">G156+G158</f>
        <v>0</v>
      </c>
      <c r="H155" s="243">
        <f>G155/E155*100</f>
        <v>0</v>
      </c>
      <c r="I155" s="259">
        <f>G155/F155*100</f>
        <v>0</v>
      </c>
      <c r="M155" s="1032"/>
    </row>
    <row r="156" spans="1:13" s="136" customFormat="1" ht="14.1" customHeight="1" x14ac:dyDescent="0.25">
      <c r="A156" s="878"/>
      <c r="B156" s="880"/>
      <c r="C156" s="874" t="s">
        <v>332</v>
      </c>
      <c r="D156" s="881" t="s">
        <v>239</v>
      </c>
      <c r="E156" s="253">
        <v>1</v>
      </c>
      <c r="F156" s="254">
        <f>5752</f>
        <v>5752</v>
      </c>
      <c r="G156" s="255">
        <v>0</v>
      </c>
      <c r="H156" s="250">
        <f t="shared" ref="H156:H157" si="13">G156/E156*100</f>
        <v>0</v>
      </c>
      <c r="I156" s="252">
        <f t="shared" ref="I156:I158" si="14">G156/F156*100</f>
        <v>0</v>
      </c>
      <c r="M156" s="1032"/>
    </row>
    <row r="157" spans="1:13" s="136" customFormat="1" ht="14.1" customHeight="1" x14ac:dyDescent="0.25">
      <c r="A157" s="882"/>
      <c r="B157" s="880"/>
      <c r="C157" s="876"/>
      <c r="D157" s="883" t="s">
        <v>137</v>
      </c>
      <c r="E157" s="278">
        <v>1</v>
      </c>
      <c r="F157" s="834">
        <v>1</v>
      </c>
      <c r="G157" s="835">
        <v>0</v>
      </c>
      <c r="H157" s="250">
        <f t="shared" si="13"/>
        <v>0</v>
      </c>
      <c r="I157" s="252">
        <f t="shared" si="14"/>
        <v>0</v>
      </c>
      <c r="M157" s="1032"/>
    </row>
    <row r="158" spans="1:13" s="136" customFormat="1" ht="14.1" customHeight="1" thickBot="1" x14ac:dyDescent="0.3">
      <c r="A158" s="884"/>
      <c r="B158" s="885"/>
      <c r="C158" s="886" t="s">
        <v>527</v>
      </c>
      <c r="D158" s="887" t="s">
        <v>331</v>
      </c>
      <c r="E158" s="260">
        <v>0</v>
      </c>
      <c r="F158" s="261">
        <v>2749</v>
      </c>
      <c r="G158" s="262">
        <v>0</v>
      </c>
      <c r="H158" s="263">
        <v>0</v>
      </c>
      <c r="I158" s="264">
        <f t="shared" si="14"/>
        <v>0</v>
      </c>
      <c r="M158" s="1032"/>
    </row>
    <row r="159" spans="1:13" ht="15" customHeight="1" x14ac:dyDescent="0.25">
      <c r="A159" s="214"/>
      <c r="B159" s="214"/>
      <c r="C159" s="214"/>
      <c r="D159" s="215"/>
      <c r="E159" s="216"/>
      <c r="F159" s="217"/>
      <c r="G159" s="216"/>
      <c r="H159" s="218"/>
      <c r="I159" s="218"/>
    </row>
    <row r="160" spans="1:13" ht="15" customHeight="1" x14ac:dyDescent="0.25">
      <c r="A160" s="214"/>
      <c r="B160" s="214"/>
      <c r="C160" s="214"/>
      <c r="D160" s="215"/>
      <c r="E160" s="216"/>
      <c r="F160" s="217"/>
      <c r="G160" s="216"/>
      <c r="H160" s="218"/>
      <c r="I160" s="218"/>
    </row>
    <row r="161" spans="1:13" ht="16.5" thickBot="1" x14ac:dyDescent="0.3">
      <c r="A161" s="219"/>
      <c r="B161" s="219"/>
      <c r="C161" s="219"/>
      <c r="D161" s="220"/>
      <c r="I161" s="221" t="s">
        <v>512</v>
      </c>
    </row>
    <row r="162" spans="1:13" x14ac:dyDescent="0.25">
      <c r="A162" s="9" t="s">
        <v>1</v>
      </c>
      <c r="B162" s="10" t="s">
        <v>2</v>
      </c>
      <c r="C162" s="11" t="s">
        <v>3</v>
      </c>
      <c r="D162" s="12"/>
      <c r="E162" s="24" t="s">
        <v>4</v>
      </c>
      <c r="F162" s="96" t="s">
        <v>326</v>
      </c>
      <c r="G162" s="110" t="s">
        <v>320</v>
      </c>
      <c r="H162" s="106" t="s">
        <v>322</v>
      </c>
      <c r="I162" s="265" t="s">
        <v>322</v>
      </c>
    </row>
    <row r="163" spans="1:13" x14ac:dyDescent="0.25">
      <c r="A163" s="13" t="s">
        <v>5</v>
      </c>
      <c r="B163" s="14" t="s">
        <v>6</v>
      </c>
      <c r="C163" s="15" t="s">
        <v>7</v>
      </c>
      <c r="D163" s="16" t="s">
        <v>8</v>
      </c>
      <c r="E163" s="25" t="s">
        <v>325</v>
      </c>
      <c r="F163" s="97" t="s">
        <v>327</v>
      </c>
      <c r="G163" s="111" t="s">
        <v>321</v>
      </c>
      <c r="H163" s="108" t="s">
        <v>323</v>
      </c>
      <c r="I163" s="266" t="s">
        <v>324</v>
      </c>
    </row>
    <row r="164" spans="1:13" ht="15.75" thickBot="1" x14ac:dyDescent="0.3">
      <c r="A164" s="17" t="s">
        <v>9</v>
      </c>
      <c r="B164" s="20" t="s">
        <v>10</v>
      </c>
      <c r="C164" s="18"/>
      <c r="D164" s="19"/>
      <c r="E164" s="26" t="s">
        <v>292</v>
      </c>
      <c r="F164" s="1031">
        <v>43646</v>
      </c>
      <c r="G164" s="1031">
        <v>43646</v>
      </c>
      <c r="H164" s="274" t="s">
        <v>235</v>
      </c>
      <c r="I164" s="275" t="s">
        <v>235</v>
      </c>
    </row>
    <row r="165" spans="1:13" ht="14.1" customHeight="1" x14ac:dyDescent="0.25">
      <c r="A165" s="1019" t="s">
        <v>487</v>
      </c>
      <c r="B165" s="1098" t="s">
        <v>479</v>
      </c>
      <c r="C165" s="1099"/>
      <c r="D165" s="888"/>
      <c r="E165" s="1028">
        <f>E166</f>
        <v>0</v>
      </c>
      <c r="F165" s="1029">
        <f>F166</f>
        <v>90.1</v>
      </c>
      <c r="G165" s="1030">
        <f>G166</f>
        <v>0</v>
      </c>
      <c r="H165" s="276">
        <v>0</v>
      </c>
      <c r="I165" s="277">
        <v>0</v>
      </c>
    </row>
    <row r="166" spans="1:13" ht="27" customHeight="1" x14ac:dyDescent="0.25">
      <c r="A166" s="1006"/>
      <c r="B166" s="880"/>
      <c r="C166" s="1007" t="s">
        <v>433</v>
      </c>
      <c r="D166" s="1008" t="s">
        <v>76</v>
      </c>
      <c r="E166" s="253">
        <v>0</v>
      </c>
      <c r="F166" s="362">
        <v>90.1</v>
      </c>
      <c r="G166" s="1009">
        <v>0</v>
      </c>
      <c r="H166" s="533">
        <v>0</v>
      </c>
      <c r="I166" s="533">
        <v>0</v>
      </c>
    </row>
    <row r="167" spans="1:13" ht="17.25" customHeight="1" thickBot="1" x14ac:dyDescent="0.3">
      <c r="A167" s="1010"/>
      <c r="B167" s="875"/>
      <c r="C167" s="889"/>
      <c r="D167" s="1011"/>
      <c r="E167" s="278"/>
      <c r="F167" s="1012"/>
      <c r="G167" s="279"/>
      <c r="H167" s="280"/>
      <c r="I167" s="280"/>
    </row>
    <row r="168" spans="1:13" ht="16.5" customHeight="1" thickBot="1" x14ac:dyDescent="0.3">
      <c r="A168" s="902" t="s">
        <v>16</v>
      </c>
      <c r="B168" s="903"/>
      <c r="C168" s="903"/>
      <c r="D168" s="327"/>
      <c r="E168" s="328">
        <f>E8+E155+E165</f>
        <v>180730</v>
      </c>
      <c r="F168" s="329">
        <f>F8+F155+F165</f>
        <v>251824.30000000002</v>
      </c>
      <c r="G168" s="328">
        <f>G8+G155+G165</f>
        <v>96045.864880000008</v>
      </c>
      <c r="H168" s="1017">
        <f>G168/E168*100</f>
        <v>53.143288264261614</v>
      </c>
      <c r="I168" s="1018">
        <f>G168/F168*100</f>
        <v>38.140030521280117</v>
      </c>
    </row>
    <row r="169" spans="1:13" s="48" customFormat="1" ht="15.75" thickBot="1" x14ac:dyDescent="0.3">
      <c r="F169" s="163"/>
      <c r="G169" s="164"/>
      <c r="H169" s="112"/>
      <c r="I169" s="112"/>
      <c r="M169" s="203"/>
    </row>
    <row r="170" spans="1:13" ht="16.5" customHeight="1" x14ac:dyDescent="0.25">
      <c r="A170" s="133" t="s">
        <v>338</v>
      </c>
      <c r="B170" s="134"/>
      <c r="C170" s="134"/>
      <c r="D170" s="135"/>
      <c r="E170" s="282"/>
      <c r="F170" s="283"/>
      <c r="G170" s="284"/>
      <c r="H170" s="285"/>
      <c r="I170" s="286"/>
    </row>
    <row r="171" spans="1:13" x14ac:dyDescent="0.25">
      <c r="A171" s="287" t="s">
        <v>487</v>
      </c>
      <c r="B171" s="288" t="s">
        <v>479</v>
      </c>
      <c r="C171" s="289"/>
      <c r="D171" s="290" t="s">
        <v>76</v>
      </c>
      <c r="E171" s="291">
        <f>SUM(E172:E173)</f>
        <v>105000</v>
      </c>
      <c r="F171" s="292">
        <f t="shared" ref="F171:G171" si="15">SUM(F172:F173)</f>
        <v>145035.5</v>
      </c>
      <c r="G171" s="291">
        <f t="shared" si="15"/>
        <v>79732</v>
      </c>
      <c r="H171" s="293">
        <f>G171/E171*100</f>
        <v>75.935238095238105</v>
      </c>
      <c r="I171" s="131">
        <f>G171/F171*100</f>
        <v>54.974127024073418</v>
      </c>
    </row>
    <row r="172" spans="1:13" x14ac:dyDescent="0.25">
      <c r="A172" s="294"/>
      <c r="B172" s="295" t="s">
        <v>480</v>
      </c>
      <c r="C172" s="296" t="s">
        <v>502</v>
      </c>
      <c r="D172" s="296" t="s">
        <v>403</v>
      </c>
      <c r="E172" s="297">
        <v>105000</v>
      </c>
      <c r="F172" s="298">
        <v>125881.3</v>
      </c>
      <c r="G172" s="299">
        <v>60578</v>
      </c>
      <c r="H172" s="300">
        <f t="shared" ref="H172" si="16">G172/E172*100</f>
        <v>57.693333333333328</v>
      </c>
      <c r="I172" s="301">
        <f t="shared" ref="I172" si="17">G172/F172*100</f>
        <v>48.123112805476268</v>
      </c>
    </row>
    <row r="173" spans="1:13" x14ac:dyDescent="0.25">
      <c r="A173" s="294"/>
      <c r="B173" s="295" t="s">
        <v>481</v>
      </c>
      <c r="C173" s="296" t="s">
        <v>502</v>
      </c>
      <c r="D173" s="296" t="s">
        <v>482</v>
      </c>
      <c r="E173" s="297">
        <v>0</v>
      </c>
      <c r="F173" s="298">
        <v>19154.2</v>
      </c>
      <c r="G173" s="299">
        <v>19154</v>
      </c>
      <c r="H173" s="300">
        <v>0</v>
      </c>
      <c r="I173" s="301">
        <f t="shared" ref="I173" si="18">G173/F173*100</f>
        <v>99.998955842582831</v>
      </c>
    </row>
    <row r="174" spans="1:13" x14ac:dyDescent="0.25">
      <c r="A174" s="302"/>
      <c r="B174" s="303"/>
      <c r="C174" s="304"/>
      <c r="D174" s="305"/>
      <c r="E174" s="306"/>
      <c r="F174" s="307"/>
      <c r="G174" s="299"/>
      <c r="H174" s="308"/>
      <c r="I174" s="252"/>
    </row>
    <row r="175" spans="1:13" x14ac:dyDescent="0.25">
      <c r="A175" s="309" t="s">
        <v>457</v>
      </c>
      <c r="B175" s="310" t="s">
        <v>291</v>
      </c>
      <c r="C175" s="311"/>
      <c r="D175" s="290"/>
      <c r="E175" s="291">
        <f>SUM(E176:E177)</f>
        <v>0</v>
      </c>
      <c r="F175" s="292">
        <f t="shared" ref="F175:G175" si="19">SUM(F176:F177)</f>
        <v>8600</v>
      </c>
      <c r="G175" s="291">
        <f t="shared" si="19"/>
        <v>0</v>
      </c>
      <c r="H175" s="293">
        <v>0</v>
      </c>
      <c r="I175" s="131">
        <f>G175/F175*100</f>
        <v>0</v>
      </c>
    </row>
    <row r="176" spans="1:13" x14ac:dyDescent="0.25">
      <c r="A176" s="302"/>
      <c r="B176" s="303"/>
      <c r="C176" s="304" t="s">
        <v>458</v>
      </c>
      <c r="D176" s="305" t="s">
        <v>459</v>
      </c>
      <c r="E176" s="306">
        <v>0</v>
      </c>
      <c r="F176" s="307">
        <v>600</v>
      </c>
      <c r="G176" s="299">
        <v>0</v>
      </c>
      <c r="H176" s="308">
        <v>0</v>
      </c>
      <c r="I176" s="252">
        <f t="shared" ref="I176:I177" si="20">G176/F176*100</f>
        <v>0</v>
      </c>
    </row>
    <row r="177" spans="1:13" x14ac:dyDescent="0.25">
      <c r="A177" s="302"/>
      <c r="B177" s="303"/>
      <c r="C177" s="304" t="s">
        <v>362</v>
      </c>
      <c r="D177" s="305" t="s">
        <v>459</v>
      </c>
      <c r="E177" s="306">
        <v>0</v>
      </c>
      <c r="F177" s="307">
        <v>8000</v>
      </c>
      <c r="G177" s="299">
        <v>0</v>
      </c>
      <c r="H177" s="308">
        <v>0</v>
      </c>
      <c r="I177" s="252">
        <f t="shared" si="20"/>
        <v>0</v>
      </c>
    </row>
    <row r="178" spans="1:13" x14ac:dyDescent="0.25">
      <c r="A178" s="294"/>
      <c r="B178" s="312"/>
      <c r="C178" s="296"/>
      <c r="D178" s="296"/>
      <c r="E178" s="313"/>
      <c r="F178" s="314"/>
      <c r="G178" s="291"/>
      <c r="H178" s="293"/>
      <c r="I178" s="131"/>
    </row>
    <row r="179" spans="1:13" x14ac:dyDescent="0.25">
      <c r="A179" s="309" t="s">
        <v>34</v>
      </c>
      <c r="B179" s="310" t="s">
        <v>35</v>
      </c>
      <c r="C179" s="315"/>
      <c r="D179" s="290" t="s">
        <v>76</v>
      </c>
      <c r="E179" s="291">
        <f>SUM(E180:E188)</f>
        <v>4000</v>
      </c>
      <c r="F179" s="292">
        <f t="shared" ref="F179:G179" si="21">SUM(F180:F188)</f>
        <v>8004.6</v>
      </c>
      <c r="G179" s="291">
        <f t="shared" si="21"/>
        <v>376</v>
      </c>
      <c r="H179" s="293">
        <f t="shared" ref="H179:H227" si="22">G179/E179*100</f>
        <v>9.4</v>
      </c>
      <c r="I179" s="131">
        <f t="shared" ref="I179:I227" si="23">G179/F179*100</f>
        <v>4.6972990530444996</v>
      </c>
    </row>
    <row r="180" spans="1:13" x14ac:dyDescent="0.25">
      <c r="A180" s="294"/>
      <c r="B180" s="312"/>
      <c r="C180" s="296" t="s">
        <v>373</v>
      </c>
      <c r="D180" s="296" t="s">
        <v>95</v>
      </c>
      <c r="E180" s="313">
        <v>1000</v>
      </c>
      <c r="F180" s="314">
        <v>1000</v>
      </c>
      <c r="G180" s="299">
        <v>0</v>
      </c>
      <c r="H180" s="300">
        <f t="shared" si="22"/>
        <v>0</v>
      </c>
      <c r="I180" s="301">
        <f t="shared" si="23"/>
        <v>0</v>
      </c>
    </row>
    <row r="181" spans="1:13" x14ac:dyDescent="0.25">
      <c r="A181" s="294"/>
      <c r="B181" s="312"/>
      <c r="C181" s="296" t="s">
        <v>374</v>
      </c>
      <c r="D181" s="296" t="s">
        <v>95</v>
      </c>
      <c r="E181" s="313">
        <v>1000</v>
      </c>
      <c r="F181" s="314">
        <v>1000</v>
      </c>
      <c r="G181" s="299">
        <v>0</v>
      </c>
      <c r="H181" s="300">
        <f t="shared" si="22"/>
        <v>0</v>
      </c>
      <c r="I181" s="301">
        <f t="shared" si="23"/>
        <v>0</v>
      </c>
    </row>
    <row r="182" spans="1:13" x14ac:dyDescent="0.25">
      <c r="A182" s="294"/>
      <c r="B182" s="312"/>
      <c r="C182" s="296" t="s">
        <v>375</v>
      </c>
      <c r="D182" s="296" t="s">
        <v>95</v>
      </c>
      <c r="E182" s="313">
        <v>2000</v>
      </c>
      <c r="F182" s="314">
        <v>2000</v>
      </c>
      <c r="G182" s="299">
        <v>0</v>
      </c>
      <c r="H182" s="300">
        <f t="shared" si="22"/>
        <v>0</v>
      </c>
      <c r="I182" s="301">
        <f t="shared" si="23"/>
        <v>0</v>
      </c>
    </row>
    <row r="183" spans="1:13" x14ac:dyDescent="0.25">
      <c r="A183" s="294"/>
      <c r="B183" s="316" t="s">
        <v>460</v>
      </c>
      <c r="C183" s="296" t="s">
        <v>461</v>
      </c>
      <c r="D183" s="296" t="s">
        <v>93</v>
      </c>
      <c r="E183" s="313">
        <v>0</v>
      </c>
      <c r="F183" s="314">
        <f>220+176</f>
        <v>396</v>
      </c>
      <c r="G183" s="299">
        <v>376</v>
      </c>
      <c r="H183" s="300">
        <v>0</v>
      </c>
      <c r="I183" s="301">
        <f t="shared" si="23"/>
        <v>94.949494949494948</v>
      </c>
    </row>
    <row r="184" spans="1:13" s="136" customFormat="1" x14ac:dyDescent="0.25">
      <c r="A184" s="294"/>
      <c r="B184" s="316" t="s">
        <v>462</v>
      </c>
      <c r="C184" s="296" t="s">
        <v>461</v>
      </c>
      <c r="D184" s="296" t="s">
        <v>103</v>
      </c>
      <c r="E184" s="313">
        <v>0</v>
      </c>
      <c r="F184" s="314">
        <f>11.7+9.4</f>
        <v>21.1</v>
      </c>
      <c r="G184" s="299">
        <v>0</v>
      </c>
      <c r="H184" s="300">
        <v>0</v>
      </c>
      <c r="I184" s="301">
        <f t="shared" si="23"/>
        <v>0</v>
      </c>
      <c r="M184" s="1032"/>
    </row>
    <row r="185" spans="1:13" x14ac:dyDescent="0.25">
      <c r="A185" s="294"/>
      <c r="B185" s="316" t="s">
        <v>463</v>
      </c>
      <c r="C185" s="296" t="s">
        <v>464</v>
      </c>
      <c r="D185" s="296" t="s">
        <v>101</v>
      </c>
      <c r="E185" s="313">
        <v>0</v>
      </c>
      <c r="F185" s="314">
        <f>482.5+386</f>
        <v>868.5</v>
      </c>
      <c r="G185" s="299">
        <v>0</v>
      </c>
      <c r="H185" s="300">
        <v>0</v>
      </c>
      <c r="I185" s="301">
        <f t="shared" si="23"/>
        <v>0</v>
      </c>
    </row>
    <row r="186" spans="1:13" s="136" customFormat="1" x14ac:dyDescent="0.25">
      <c r="A186" s="294"/>
      <c r="B186" s="316" t="s">
        <v>465</v>
      </c>
      <c r="C186" s="296" t="s">
        <v>464</v>
      </c>
      <c r="D186" s="296" t="s">
        <v>466</v>
      </c>
      <c r="E186" s="313">
        <v>0</v>
      </c>
      <c r="F186" s="314">
        <f>561.3+449</f>
        <v>1010.3</v>
      </c>
      <c r="G186" s="299">
        <v>0</v>
      </c>
      <c r="H186" s="300">
        <v>0</v>
      </c>
      <c r="I186" s="301">
        <f t="shared" si="23"/>
        <v>0</v>
      </c>
      <c r="M186" s="1032"/>
    </row>
    <row r="187" spans="1:13" x14ac:dyDescent="0.25">
      <c r="A187" s="294"/>
      <c r="B187" s="316" t="s">
        <v>467</v>
      </c>
      <c r="C187" s="296" t="s">
        <v>464</v>
      </c>
      <c r="D187" s="296" t="s">
        <v>468</v>
      </c>
      <c r="E187" s="313">
        <v>0</v>
      </c>
      <c r="F187" s="314">
        <f>149.3+119.4</f>
        <v>268.70000000000005</v>
      </c>
      <c r="G187" s="299">
        <v>0</v>
      </c>
      <c r="H187" s="300">
        <v>0</v>
      </c>
      <c r="I187" s="301">
        <f t="shared" si="23"/>
        <v>0</v>
      </c>
    </row>
    <row r="188" spans="1:13" x14ac:dyDescent="0.25">
      <c r="A188" s="294"/>
      <c r="B188" s="316" t="s">
        <v>469</v>
      </c>
      <c r="C188" s="296" t="s">
        <v>464</v>
      </c>
      <c r="D188" s="296" t="s">
        <v>80</v>
      </c>
      <c r="E188" s="313">
        <v>0</v>
      </c>
      <c r="F188" s="314">
        <f>800+640</f>
        <v>1440</v>
      </c>
      <c r="G188" s="299">
        <v>0</v>
      </c>
      <c r="H188" s="300">
        <v>0</v>
      </c>
      <c r="I188" s="301">
        <f t="shared" si="23"/>
        <v>0</v>
      </c>
    </row>
    <row r="189" spans="1:13" x14ac:dyDescent="0.25">
      <c r="A189" s="294"/>
      <c r="B189" s="312"/>
      <c r="C189" s="296"/>
      <c r="D189" s="296"/>
      <c r="E189" s="313"/>
      <c r="F189" s="314"/>
      <c r="G189" s="291"/>
      <c r="H189" s="293"/>
      <c r="I189" s="131"/>
    </row>
    <row r="190" spans="1:13" x14ac:dyDescent="0.25">
      <c r="A190" s="309" t="s">
        <v>34</v>
      </c>
      <c r="B190" s="310" t="s">
        <v>376</v>
      </c>
      <c r="C190" s="315"/>
      <c r="D190" s="311" t="s">
        <v>429</v>
      </c>
      <c r="E190" s="291">
        <f>SUM(E191:E227)</f>
        <v>49602</v>
      </c>
      <c r="F190" s="292">
        <f>SUM(F191:F209,F218:F227)</f>
        <v>80684.800000000003</v>
      </c>
      <c r="G190" s="292">
        <f>SUM(G191:G209,G218:G227)</f>
        <v>18786</v>
      </c>
      <c r="H190" s="293">
        <f t="shared" si="22"/>
        <v>37.873472843836943</v>
      </c>
      <c r="I190" s="131">
        <f t="shared" si="23"/>
        <v>23.283195843578962</v>
      </c>
    </row>
    <row r="191" spans="1:13" x14ac:dyDescent="0.25">
      <c r="A191" s="294"/>
      <c r="B191" s="312"/>
      <c r="C191" s="296" t="s">
        <v>377</v>
      </c>
      <c r="D191" s="296" t="s">
        <v>378</v>
      </c>
      <c r="E191" s="313">
        <v>520</v>
      </c>
      <c r="F191" s="314">
        <v>520</v>
      </c>
      <c r="G191" s="317">
        <v>0</v>
      </c>
      <c r="H191" s="300">
        <f t="shared" si="22"/>
        <v>0</v>
      </c>
      <c r="I191" s="301">
        <f t="shared" si="23"/>
        <v>0</v>
      </c>
    </row>
    <row r="192" spans="1:13" x14ac:dyDescent="0.25">
      <c r="A192" s="294"/>
      <c r="B192" s="312"/>
      <c r="C192" s="296" t="s">
        <v>379</v>
      </c>
      <c r="D192" s="296" t="s">
        <v>378</v>
      </c>
      <c r="E192" s="313">
        <v>1130</v>
      </c>
      <c r="F192" s="314">
        <v>1160</v>
      </c>
      <c r="G192" s="317">
        <v>0</v>
      </c>
      <c r="H192" s="300">
        <f t="shared" si="22"/>
        <v>0</v>
      </c>
      <c r="I192" s="301">
        <f t="shared" si="23"/>
        <v>0</v>
      </c>
    </row>
    <row r="193" spans="1:9" x14ac:dyDescent="0.25">
      <c r="A193" s="294"/>
      <c r="B193" s="312"/>
      <c r="C193" s="296" t="s">
        <v>380</v>
      </c>
      <c r="D193" s="296" t="s">
        <v>378</v>
      </c>
      <c r="E193" s="313">
        <v>7900</v>
      </c>
      <c r="F193" s="314">
        <v>7900</v>
      </c>
      <c r="G193" s="317">
        <v>1061</v>
      </c>
      <c r="H193" s="300">
        <f t="shared" si="22"/>
        <v>13.430379746835444</v>
      </c>
      <c r="I193" s="301">
        <f t="shared" si="23"/>
        <v>13.430379746835444</v>
      </c>
    </row>
    <row r="194" spans="1:9" ht="26.25" x14ac:dyDescent="0.25">
      <c r="A194" s="294"/>
      <c r="B194" s="312"/>
      <c r="C194" s="305" t="s">
        <v>381</v>
      </c>
      <c r="D194" s="305" t="s">
        <v>378</v>
      </c>
      <c r="E194" s="297">
        <v>4500</v>
      </c>
      <c r="F194" s="298">
        <v>490</v>
      </c>
      <c r="G194" s="317">
        <v>0</v>
      </c>
      <c r="H194" s="300">
        <f t="shared" si="22"/>
        <v>0</v>
      </c>
      <c r="I194" s="301">
        <f t="shared" si="23"/>
        <v>0</v>
      </c>
    </row>
    <row r="195" spans="1:9" x14ac:dyDescent="0.25">
      <c r="A195" s="294"/>
      <c r="B195" s="312"/>
      <c r="C195" s="296" t="s">
        <v>382</v>
      </c>
      <c r="D195" s="296" t="s">
        <v>95</v>
      </c>
      <c r="E195" s="313">
        <v>7120</v>
      </c>
      <c r="F195" s="314">
        <v>7120</v>
      </c>
      <c r="G195" s="317">
        <v>1000</v>
      </c>
      <c r="H195" s="300">
        <f t="shared" si="22"/>
        <v>14.04494382022472</v>
      </c>
      <c r="I195" s="301">
        <f t="shared" si="23"/>
        <v>14.04494382022472</v>
      </c>
    </row>
    <row r="196" spans="1:9" ht="26.25" x14ac:dyDescent="0.25">
      <c r="A196" s="294"/>
      <c r="B196" s="312"/>
      <c r="C196" s="305" t="s">
        <v>383</v>
      </c>
      <c r="D196" s="305" t="s">
        <v>384</v>
      </c>
      <c r="E196" s="297">
        <v>1800</v>
      </c>
      <c r="F196" s="298">
        <v>3050</v>
      </c>
      <c r="G196" s="317">
        <v>0</v>
      </c>
      <c r="H196" s="300">
        <f t="shared" si="22"/>
        <v>0</v>
      </c>
      <c r="I196" s="301">
        <f t="shared" si="23"/>
        <v>0</v>
      </c>
    </row>
    <row r="197" spans="1:9" x14ac:dyDescent="0.25">
      <c r="A197" s="294"/>
      <c r="B197" s="312"/>
      <c r="C197" s="296" t="s">
        <v>385</v>
      </c>
      <c r="D197" s="296" t="s">
        <v>66</v>
      </c>
      <c r="E197" s="313">
        <v>750</v>
      </c>
      <c r="F197" s="314">
        <v>1210</v>
      </c>
      <c r="G197" s="317">
        <v>0</v>
      </c>
      <c r="H197" s="300">
        <f t="shared" si="22"/>
        <v>0</v>
      </c>
      <c r="I197" s="301">
        <f t="shared" si="23"/>
        <v>0</v>
      </c>
    </row>
    <row r="198" spans="1:9" x14ac:dyDescent="0.25">
      <c r="A198" s="294"/>
      <c r="B198" s="312"/>
      <c r="C198" s="296" t="s">
        <v>386</v>
      </c>
      <c r="D198" s="296" t="s">
        <v>387</v>
      </c>
      <c r="E198" s="313">
        <v>500</v>
      </c>
      <c r="F198" s="314">
        <v>500</v>
      </c>
      <c r="G198" s="317">
        <v>0</v>
      </c>
      <c r="H198" s="300">
        <f t="shared" si="22"/>
        <v>0</v>
      </c>
      <c r="I198" s="301">
        <f t="shared" si="23"/>
        <v>0</v>
      </c>
    </row>
    <row r="199" spans="1:9" x14ac:dyDescent="0.25">
      <c r="A199" s="294"/>
      <c r="B199" s="312"/>
      <c r="C199" s="296" t="s">
        <v>388</v>
      </c>
      <c r="D199" s="296" t="s">
        <v>389</v>
      </c>
      <c r="E199" s="313">
        <v>4161</v>
      </c>
      <c r="F199" s="314">
        <v>4161</v>
      </c>
      <c r="G199" s="317">
        <v>0</v>
      </c>
      <c r="H199" s="300">
        <f t="shared" si="22"/>
        <v>0</v>
      </c>
      <c r="I199" s="301">
        <f t="shared" si="23"/>
        <v>0</v>
      </c>
    </row>
    <row r="200" spans="1:9" x14ac:dyDescent="0.25">
      <c r="A200" s="294"/>
      <c r="B200" s="312"/>
      <c r="C200" s="296" t="s">
        <v>390</v>
      </c>
      <c r="D200" s="296" t="s">
        <v>42</v>
      </c>
      <c r="E200" s="313">
        <v>5450</v>
      </c>
      <c r="F200" s="314">
        <v>0</v>
      </c>
      <c r="G200" s="317">
        <v>0</v>
      </c>
      <c r="H200" s="300">
        <f t="shared" si="22"/>
        <v>0</v>
      </c>
      <c r="I200" s="301">
        <v>0</v>
      </c>
    </row>
    <row r="201" spans="1:9" x14ac:dyDescent="0.25">
      <c r="A201" s="294"/>
      <c r="B201" s="312"/>
      <c r="C201" s="296" t="s">
        <v>391</v>
      </c>
      <c r="D201" s="296" t="s">
        <v>387</v>
      </c>
      <c r="E201" s="313">
        <v>1500</v>
      </c>
      <c r="F201" s="314">
        <v>1500</v>
      </c>
      <c r="G201" s="317">
        <v>0</v>
      </c>
      <c r="H201" s="300">
        <f t="shared" si="22"/>
        <v>0</v>
      </c>
      <c r="I201" s="301">
        <f t="shared" si="23"/>
        <v>0</v>
      </c>
    </row>
    <row r="202" spans="1:9" x14ac:dyDescent="0.25">
      <c r="A202" s="318"/>
      <c r="B202" s="319"/>
      <c r="C202" s="296" t="s">
        <v>392</v>
      </c>
      <c r="D202" s="296" t="s">
        <v>387</v>
      </c>
      <c r="E202" s="313">
        <v>1000</v>
      </c>
      <c r="F202" s="314">
        <v>1000</v>
      </c>
      <c r="G202" s="317">
        <v>0</v>
      </c>
      <c r="H202" s="300">
        <f t="shared" si="22"/>
        <v>0</v>
      </c>
      <c r="I202" s="301">
        <f t="shared" si="23"/>
        <v>0</v>
      </c>
    </row>
    <row r="203" spans="1:9" x14ac:dyDescent="0.25">
      <c r="A203" s="318"/>
      <c r="B203" s="319"/>
      <c r="C203" s="296" t="s">
        <v>393</v>
      </c>
      <c r="D203" s="296" t="s">
        <v>101</v>
      </c>
      <c r="E203" s="313">
        <v>1000</v>
      </c>
      <c r="F203" s="314">
        <v>611</v>
      </c>
      <c r="G203" s="317">
        <v>300</v>
      </c>
      <c r="H203" s="300">
        <f t="shared" si="22"/>
        <v>30</v>
      </c>
      <c r="I203" s="301">
        <f t="shared" si="23"/>
        <v>49.099836333878891</v>
      </c>
    </row>
    <row r="204" spans="1:9" x14ac:dyDescent="0.25">
      <c r="A204" s="318"/>
      <c r="B204" s="319"/>
      <c r="C204" s="296" t="s">
        <v>379</v>
      </c>
      <c r="D204" s="296" t="s">
        <v>394</v>
      </c>
      <c r="E204" s="313">
        <v>11</v>
      </c>
      <c r="F204" s="314">
        <v>11</v>
      </c>
      <c r="G204" s="317">
        <v>11</v>
      </c>
      <c r="H204" s="300">
        <f t="shared" si="22"/>
        <v>100</v>
      </c>
      <c r="I204" s="301">
        <f t="shared" si="23"/>
        <v>100</v>
      </c>
    </row>
    <row r="205" spans="1:9" ht="17.25" customHeight="1" x14ac:dyDescent="0.25">
      <c r="A205" s="318"/>
      <c r="B205" s="319"/>
      <c r="C205" s="296" t="s">
        <v>395</v>
      </c>
      <c r="D205" s="296" t="s">
        <v>384</v>
      </c>
      <c r="E205" s="313">
        <v>66</v>
      </c>
      <c r="F205" s="314">
        <v>66</v>
      </c>
      <c r="G205" s="317">
        <v>0</v>
      </c>
      <c r="H205" s="300">
        <f t="shared" si="22"/>
        <v>0</v>
      </c>
      <c r="I205" s="301">
        <f t="shared" si="23"/>
        <v>0</v>
      </c>
    </row>
    <row r="206" spans="1:9" x14ac:dyDescent="0.25">
      <c r="A206" s="318"/>
      <c r="B206" s="319"/>
      <c r="C206" s="296" t="s">
        <v>396</v>
      </c>
      <c r="D206" s="296" t="s">
        <v>345</v>
      </c>
      <c r="E206" s="313">
        <v>2091</v>
      </c>
      <c r="F206" s="314">
        <v>2091</v>
      </c>
      <c r="G206" s="317">
        <v>1464</v>
      </c>
      <c r="H206" s="300">
        <f t="shared" si="22"/>
        <v>70.014347202295554</v>
      </c>
      <c r="I206" s="301">
        <f t="shared" si="23"/>
        <v>70.014347202295554</v>
      </c>
    </row>
    <row r="207" spans="1:9" x14ac:dyDescent="0.25">
      <c r="A207" s="318"/>
      <c r="B207" s="319"/>
      <c r="C207" s="296" t="s">
        <v>397</v>
      </c>
      <c r="D207" s="296" t="s">
        <v>89</v>
      </c>
      <c r="E207" s="313">
        <v>2200</v>
      </c>
      <c r="F207" s="314">
        <v>2200</v>
      </c>
      <c r="G207" s="317">
        <v>1466</v>
      </c>
      <c r="H207" s="300">
        <f t="shared" si="22"/>
        <v>66.63636363636364</v>
      </c>
      <c r="I207" s="301">
        <f t="shared" si="23"/>
        <v>66.63636363636364</v>
      </c>
    </row>
    <row r="208" spans="1:9" x14ac:dyDescent="0.25">
      <c r="A208" s="318"/>
      <c r="B208" s="319"/>
      <c r="C208" s="296" t="s">
        <v>343</v>
      </c>
      <c r="D208" s="296" t="s">
        <v>44</v>
      </c>
      <c r="E208" s="313">
        <v>25</v>
      </c>
      <c r="F208" s="314">
        <v>0</v>
      </c>
      <c r="G208" s="317">
        <v>0</v>
      </c>
      <c r="H208" s="300">
        <f t="shared" si="22"/>
        <v>0</v>
      </c>
      <c r="I208" s="301">
        <v>0</v>
      </c>
    </row>
    <row r="209" spans="1:13" ht="15.75" thickBot="1" x14ac:dyDescent="0.3">
      <c r="A209" s="1060"/>
      <c r="B209" s="1061"/>
      <c r="C209" s="1062" t="s">
        <v>398</v>
      </c>
      <c r="D209" s="1062" t="s">
        <v>399</v>
      </c>
      <c r="E209" s="1063">
        <v>28</v>
      </c>
      <c r="F209" s="1064">
        <v>6042.1</v>
      </c>
      <c r="G209" s="1051">
        <v>6042</v>
      </c>
      <c r="H209" s="1065">
        <f t="shared" si="22"/>
        <v>21578.571428571428</v>
      </c>
      <c r="I209" s="1066">
        <f t="shared" si="23"/>
        <v>99.9983449462935</v>
      </c>
    </row>
    <row r="210" spans="1:13" x14ac:dyDescent="0.25">
      <c r="A210" s="1054"/>
      <c r="B210" s="1054"/>
      <c r="C210" s="1055"/>
      <c r="D210" s="1055"/>
      <c r="E210" s="1056"/>
      <c r="F210" s="1057"/>
      <c r="G210" s="1049"/>
      <c r="H210" s="1058"/>
      <c r="I210" s="1059"/>
    </row>
    <row r="211" spans="1:13" x14ac:dyDescent="0.25">
      <c r="A211" s="1054"/>
      <c r="B211" s="1054"/>
      <c r="C211" s="1055"/>
      <c r="D211" s="1055"/>
      <c r="E211" s="1056"/>
      <c r="F211" s="1057"/>
      <c r="G211" s="1049"/>
      <c r="H211" s="1058"/>
      <c r="I211" s="1059"/>
    </row>
    <row r="212" spans="1:13" s="324" customFormat="1" ht="15" customHeight="1" thickBot="1" x14ac:dyDescent="0.3">
      <c r="A212" s="1045"/>
      <c r="B212" s="1045"/>
      <c r="C212" s="1046"/>
      <c r="D212" s="1046"/>
      <c r="E212" s="1047"/>
      <c r="F212" s="1048"/>
      <c r="G212" s="1049"/>
      <c r="H212" s="1050"/>
      <c r="I212" s="221" t="s">
        <v>511</v>
      </c>
      <c r="M212" s="1039"/>
    </row>
    <row r="213" spans="1:13" s="324" customFormat="1" ht="15" customHeight="1" x14ac:dyDescent="0.25">
      <c r="A213" s="9" t="s">
        <v>1</v>
      </c>
      <c r="B213" s="10" t="s">
        <v>2</v>
      </c>
      <c r="C213" s="11" t="s">
        <v>3</v>
      </c>
      <c r="D213" s="12"/>
      <c r="E213" s="24" t="s">
        <v>4</v>
      </c>
      <c r="F213" s="96" t="s">
        <v>326</v>
      </c>
      <c r="G213" s="110" t="s">
        <v>320</v>
      </c>
      <c r="H213" s="106" t="s">
        <v>322</v>
      </c>
      <c r="I213" s="265" t="s">
        <v>322</v>
      </c>
      <c r="M213" s="1039"/>
    </row>
    <row r="214" spans="1:13" s="324" customFormat="1" ht="15" customHeight="1" x14ac:dyDescent="0.25">
      <c r="A214" s="13" t="s">
        <v>5</v>
      </c>
      <c r="B214" s="14" t="s">
        <v>6</v>
      </c>
      <c r="C214" s="15" t="s">
        <v>7</v>
      </c>
      <c r="D214" s="16" t="s">
        <v>8</v>
      </c>
      <c r="E214" s="25" t="s">
        <v>325</v>
      </c>
      <c r="F214" s="97" t="s">
        <v>327</v>
      </c>
      <c r="G214" s="111" t="s">
        <v>321</v>
      </c>
      <c r="H214" s="108" t="s">
        <v>323</v>
      </c>
      <c r="I214" s="266" t="s">
        <v>324</v>
      </c>
      <c r="M214" s="1039"/>
    </row>
    <row r="215" spans="1:13" s="324" customFormat="1" ht="15" customHeight="1" thickBot="1" x14ac:dyDescent="0.3">
      <c r="A215" s="17" t="s">
        <v>9</v>
      </c>
      <c r="B215" s="20" t="s">
        <v>10</v>
      </c>
      <c r="C215" s="18"/>
      <c r="D215" s="19"/>
      <c r="E215" s="26" t="s">
        <v>292</v>
      </c>
      <c r="F215" s="1031">
        <v>43646</v>
      </c>
      <c r="G215" s="1031">
        <v>43646</v>
      </c>
      <c r="H215" s="274" t="s">
        <v>235</v>
      </c>
      <c r="I215" s="275" t="s">
        <v>235</v>
      </c>
      <c r="M215" s="1039"/>
    </row>
    <row r="216" spans="1:13" s="324" customFormat="1" ht="15" customHeight="1" x14ac:dyDescent="0.25">
      <c r="A216" s="133" t="s">
        <v>338</v>
      </c>
      <c r="B216" s="134"/>
      <c r="C216" s="134"/>
      <c r="D216" s="135"/>
      <c r="E216" s="282"/>
      <c r="F216" s="283"/>
      <c r="G216" s="284"/>
      <c r="H216" s="285"/>
      <c r="I216" s="286"/>
      <c r="M216" s="1039"/>
    </row>
    <row r="217" spans="1:13" s="324" customFormat="1" ht="15" customHeight="1" x14ac:dyDescent="0.25">
      <c r="A217" s="309" t="s">
        <v>34</v>
      </c>
      <c r="B217" s="310" t="s">
        <v>376</v>
      </c>
      <c r="C217" s="315"/>
      <c r="D217" s="311" t="s">
        <v>429</v>
      </c>
      <c r="E217" s="1040"/>
      <c r="F217" s="1041"/>
      <c r="G217" s="1042"/>
      <c r="H217" s="1043"/>
      <c r="I217" s="1044"/>
      <c r="M217" s="1039"/>
    </row>
    <row r="218" spans="1:13" s="324" customFormat="1" ht="15" customHeight="1" x14ac:dyDescent="0.25">
      <c r="A218" s="318"/>
      <c r="B218" s="319"/>
      <c r="C218" s="296" t="s">
        <v>344</v>
      </c>
      <c r="D218" s="296" t="s">
        <v>54</v>
      </c>
      <c r="E218" s="313">
        <v>25</v>
      </c>
      <c r="F218" s="314">
        <v>0</v>
      </c>
      <c r="G218" s="317">
        <v>0</v>
      </c>
      <c r="H218" s="300">
        <f t="shared" ref="H218:H219" si="24">G218/E218*100</f>
        <v>0</v>
      </c>
      <c r="I218" s="301">
        <v>0</v>
      </c>
      <c r="M218" s="1039"/>
    </row>
    <row r="219" spans="1:13" s="324" customFormat="1" ht="15" customHeight="1" x14ac:dyDescent="0.25">
      <c r="A219" s="318"/>
      <c r="B219" s="319"/>
      <c r="C219" s="296" t="s">
        <v>400</v>
      </c>
      <c r="D219" s="296" t="s">
        <v>52</v>
      </c>
      <c r="E219" s="313">
        <v>25</v>
      </c>
      <c r="F219" s="314">
        <v>0</v>
      </c>
      <c r="G219" s="317">
        <v>0</v>
      </c>
      <c r="H219" s="300">
        <f t="shared" si="24"/>
        <v>0</v>
      </c>
      <c r="I219" s="301">
        <v>0</v>
      </c>
      <c r="M219" s="1039"/>
    </row>
    <row r="220" spans="1:13" s="324" customFormat="1" ht="15" customHeight="1" x14ac:dyDescent="0.25">
      <c r="A220" s="318"/>
      <c r="B220" s="319"/>
      <c r="C220" s="296" t="s">
        <v>470</v>
      </c>
      <c r="D220" s="296" t="s">
        <v>471</v>
      </c>
      <c r="E220" s="313">
        <v>0</v>
      </c>
      <c r="F220" s="314">
        <v>389</v>
      </c>
      <c r="G220" s="317">
        <v>0</v>
      </c>
      <c r="H220" s="300">
        <v>0</v>
      </c>
      <c r="I220" s="301">
        <f t="shared" ref="I220:I224" si="25">G220/F220*100</f>
        <v>0</v>
      </c>
      <c r="M220" s="1039"/>
    </row>
    <row r="221" spans="1:13" s="324" customFormat="1" ht="28.5" customHeight="1" x14ac:dyDescent="0.25">
      <c r="A221" s="318"/>
      <c r="B221" s="319"/>
      <c r="C221" s="1053" t="s">
        <v>472</v>
      </c>
      <c r="D221" s="1052" t="s">
        <v>101</v>
      </c>
      <c r="E221" s="317">
        <v>0</v>
      </c>
      <c r="F221" s="317">
        <f>500+3600</f>
        <v>4100</v>
      </c>
      <c r="G221" s="317">
        <v>0</v>
      </c>
      <c r="H221" s="300">
        <v>0</v>
      </c>
      <c r="I221" s="301">
        <f t="shared" si="25"/>
        <v>0</v>
      </c>
      <c r="M221" s="1039"/>
    </row>
    <row r="222" spans="1:13" s="324" customFormat="1" ht="15" customHeight="1" x14ac:dyDescent="0.25">
      <c r="A222" s="318"/>
      <c r="B222" s="319"/>
      <c r="C222" s="296" t="s">
        <v>473</v>
      </c>
      <c r="D222" s="296" t="s">
        <v>384</v>
      </c>
      <c r="E222" s="313">
        <v>0</v>
      </c>
      <c r="F222" s="314">
        <v>2300</v>
      </c>
      <c r="G222" s="317">
        <v>0</v>
      </c>
      <c r="H222" s="300">
        <v>0</v>
      </c>
      <c r="I222" s="301">
        <f t="shared" si="25"/>
        <v>0</v>
      </c>
      <c r="M222" s="1039"/>
    </row>
    <row r="223" spans="1:13" s="324" customFormat="1" ht="15" customHeight="1" x14ac:dyDescent="0.25">
      <c r="A223" s="320"/>
      <c r="B223" s="321"/>
      <c r="C223" s="304" t="s">
        <v>474</v>
      </c>
      <c r="D223" s="304" t="s">
        <v>266</v>
      </c>
      <c r="E223" s="297">
        <v>0</v>
      </c>
      <c r="F223" s="298">
        <v>3542.5</v>
      </c>
      <c r="G223" s="317">
        <v>3543</v>
      </c>
      <c r="H223" s="322">
        <v>0</v>
      </c>
      <c r="I223" s="323">
        <f t="shared" si="25"/>
        <v>100.01411432604093</v>
      </c>
      <c r="M223" s="1039"/>
    </row>
    <row r="224" spans="1:13" s="324" customFormat="1" ht="15" customHeight="1" x14ac:dyDescent="0.25">
      <c r="A224" s="320"/>
      <c r="B224" s="321"/>
      <c r="C224" s="304" t="s">
        <v>475</v>
      </c>
      <c r="D224" s="304" t="s">
        <v>68</v>
      </c>
      <c r="E224" s="297">
        <v>0</v>
      </c>
      <c r="F224" s="298">
        <v>2990.3</v>
      </c>
      <c r="G224" s="317">
        <v>2990</v>
      </c>
      <c r="H224" s="322">
        <v>0</v>
      </c>
      <c r="I224" s="323">
        <f t="shared" si="25"/>
        <v>99.989967561783089</v>
      </c>
      <c r="M224" s="1039"/>
    </row>
    <row r="225" spans="1:13" s="324" customFormat="1" ht="15" customHeight="1" x14ac:dyDescent="0.25">
      <c r="A225" s="320"/>
      <c r="B225" s="321"/>
      <c r="C225" s="304" t="s">
        <v>476</v>
      </c>
      <c r="D225" s="304" t="s">
        <v>477</v>
      </c>
      <c r="E225" s="297">
        <v>0</v>
      </c>
      <c r="F225" s="298">
        <v>8930.9</v>
      </c>
      <c r="G225" s="317">
        <v>500</v>
      </c>
      <c r="H225" s="322">
        <v>0</v>
      </c>
      <c r="I225" s="323">
        <f t="shared" si="23"/>
        <v>5.598539900793873</v>
      </c>
      <c r="M225" s="1039"/>
    </row>
    <row r="226" spans="1:13" s="324" customFormat="1" ht="15" customHeight="1" x14ac:dyDescent="0.25">
      <c r="A226" s="320"/>
      <c r="B226" s="321"/>
      <c r="C226" s="304" t="s">
        <v>478</v>
      </c>
      <c r="D226" s="304" t="s">
        <v>384</v>
      </c>
      <c r="E226" s="297">
        <v>0</v>
      </c>
      <c r="F226" s="298">
        <v>11000</v>
      </c>
      <c r="G226" s="317">
        <v>0</v>
      </c>
      <c r="H226" s="322">
        <v>0</v>
      </c>
      <c r="I226" s="323">
        <f t="shared" si="23"/>
        <v>0</v>
      </c>
      <c r="M226" s="1039"/>
    </row>
    <row r="227" spans="1:13" s="324" customFormat="1" ht="15" customHeight="1" thickBot="1" x14ac:dyDescent="0.3">
      <c r="A227" s="320"/>
      <c r="B227" s="321"/>
      <c r="C227" s="304" t="s">
        <v>401</v>
      </c>
      <c r="D227" s="304" t="s">
        <v>402</v>
      </c>
      <c r="E227" s="297">
        <v>7800</v>
      </c>
      <c r="F227" s="298">
        <v>7800</v>
      </c>
      <c r="G227" s="317">
        <v>409</v>
      </c>
      <c r="H227" s="322">
        <f t="shared" si="22"/>
        <v>5.2435897435897436</v>
      </c>
      <c r="I227" s="323">
        <f t="shared" si="23"/>
        <v>5.2435897435897436</v>
      </c>
      <c r="M227" s="1039"/>
    </row>
    <row r="228" spans="1:13" ht="16.5" customHeight="1" thickBot="1" x14ac:dyDescent="0.3">
      <c r="A228" s="325" t="s">
        <v>416</v>
      </c>
      <c r="B228" s="326"/>
      <c r="C228" s="326"/>
      <c r="D228" s="327"/>
      <c r="E228" s="328">
        <f>E171+E179+E190+E175</f>
        <v>158602</v>
      </c>
      <c r="F228" s="329">
        <f>F171+F179+F190+F175</f>
        <v>242324.90000000002</v>
      </c>
      <c r="G228" s="328">
        <f>G171+G179+G190+G175</f>
        <v>98894</v>
      </c>
      <c r="H228" s="1017">
        <f>G228/E228*100</f>
        <v>62.353564267789821</v>
      </c>
      <c r="I228" s="1018">
        <f>G228/F228*100</f>
        <v>40.810498632208244</v>
      </c>
    </row>
    <row r="229" spans="1:13" ht="15" customHeight="1" thickBot="1" x14ac:dyDescent="0.3">
      <c r="A229" s="48"/>
      <c r="B229" s="48"/>
      <c r="C229" s="48"/>
      <c r="D229" s="48"/>
    </row>
    <row r="230" spans="1:13" ht="16.5" customHeight="1" thickBot="1" x14ac:dyDescent="0.3">
      <c r="A230" s="160" t="s">
        <v>419</v>
      </c>
      <c r="B230" s="161"/>
      <c r="C230" s="161"/>
      <c r="D230" s="162"/>
      <c r="E230" s="328">
        <f>E168+E228</f>
        <v>339332</v>
      </c>
      <c r="F230" s="329">
        <f>F168+F228</f>
        <v>494149.20000000007</v>
      </c>
      <c r="G230" s="328">
        <f>G168+G228</f>
        <v>194939.86488000001</v>
      </c>
      <c r="H230" s="1017">
        <f>G230/E230*100</f>
        <v>57.448123041740843</v>
      </c>
      <c r="I230" s="1018">
        <f>G230/F230*100</f>
        <v>39.449596372917327</v>
      </c>
    </row>
    <row r="231" spans="1:13" ht="21.95" customHeight="1" x14ac:dyDescent="0.25"/>
    <row r="232" spans="1:13" ht="21.95" customHeight="1" x14ac:dyDescent="0.25"/>
    <row r="233" spans="1:13" ht="21.95" customHeight="1" x14ac:dyDescent="0.25"/>
    <row r="234" spans="1:13" ht="21.95" customHeight="1" x14ac:dyDescent="0.25"/>
    <row r="235" spans="1:13" ht="21.95" customHeight="1" x14ac:dyDescent="0.25"/>
    <row r="236" spans="1:13" ht="21.95" customHeight="1" x14ac:dyDescent="0.25"/>
    <row r="237" spans="1:13" ht="21.95" customHeight="1" x14ac:dyDescent="0.25"/>
    <row r="238" spans="1:13" ht="21.95" customHeight="1" x14ac:dyDescent="0.25"/>
    <row r="239" spans="1:13" ht="21.95" customHeight="1" x14ac:dyDescent="0.25"/>
    <row r="240" spans="1:13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  <row r="245" ht="21.95" customHeight="1" x14ac:dyDescent="0.25"/>
    <row r="246" ht="27" customHeight="1" x14ac:dyDescent="0.25"/>
    <row r="247" ht="15" customHeight="1" x14ac:dyDescent="0.25"/>
    <row r="248" ht="15" customHeight="1" x14ac:dyDescent="0.25"/>
    <row r="249" ht="15" customHeight="1" x14ac:dyDescent="0.25"/>
  </sheetData>
  <mergeCells count="7">
    <mergeCell ref="B165:C165"/>
    <mergeCell ref="H149:H150"/>
    <mergeCell ref="I149:I150"/>
    <mergeCell ref="B155:C155"/>
    <mergeCell ref="F149:F150"/>
    <mergeCell ref="E149:E150"/>
    <mergeCell ref="G149:G150"/>
  </mergeCells>
  <printOptions horizontalCentered="1"/>
  <pageMargins left="0.43307086614173229" right="0" top="0" bottom="0" header="0" footer="0"/>
  <pageSetup paperSize="9" scale="72" fitToHeight="0" orientation="landscape" r:id="rId1"/>
  <rowBreaks count="3" manualBreakCount="3">
    <brk id="50" max="16383" man="1"/>
    <brk id="104" max="16383" man="1"/>
    <brk id="1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1:I68"/>
  <sheetViews>
    <sheetView zoomScaleNormal="100" workbookViewId="0">
      <selection activeCell="I33" sqref="I33"/>
    </sheetView>
  </sheetViews>
  <sheetFormatPr defaultRowHeight="15" x14ac:dyDescent="0.25"/>
  <cols>
    <col min="1" max="2" width="11.28515625" style="156" customWidth="1"/>
    <col min="3" max="3" width="50.140625" style="156" customWidth="1"/>
    <col min="4" max="4" width="42.85546875" style="156" customWidth="1"/>
    <col min="5" max="5" width="16.42578125" style="156" customWidth="1"/>
    <col min="6" max="6" width="16.42578125" style="158" customWidth="1"/>
    <col min="7" max="7" width="16.42578125" style="159" customWidth="1"/>
    <col min="8" max="9" width="10.7109375" style="165" customWidth="1"/>
    <col min="10" max="16384" width="9.140625" style="156"/>
  </cols>
  <sheetData>
    <row r="1" spans="1:9" s="21" customFormat="1" x14ac:dyDescent="0.25">
      <c r="F1" s="100"/>
      <c r="G1" s="102"/>
      <c r="H1" s="104"/>
      <c r="I1" s="104"/>
    </row>
    <row r="2" spans="1:9" s="21" customFormat="1" ht="18" x14ac:dyDescent="0.25">
      <c r="A2" s="393" t="s">
        <v>110</v>
      </c>
      <c r="C2" s="394"/>
      <c r="D2" s="393"/>
      <c r="F2" s="100"/>
      <c r="G2" s="102"/>
      <c r="H2" s="104"/>
      <c r="I2" s="104"/>
    </row>
    <row r="3" spans="1:9" s="21" customFormat="1" ht="15.75" thickBot="1" x14ac:dyDescent="0.3">
      <c r="F3" s="101"/>
      <c r="G3" s="102"/>
      <c r="H3" s="104"/>
      <c r="I3" s="105" t="s">
        <v>510</v>
      </c>
    </row>
    <row r="4" spans="1:9" s="21" customFormat="1" ht="15" customHeight="1" x14ac:dyDescent="0.25">
      <c r="A4" s="395" t="s">
        <v>1</v>
      </c>
      <c r="B4" s="1" t="s">
        <v>2</v>
      </c>
      <c r="C4" s="5" t="s">
        <v>3</v>
      </c>
      <c r="D4" s="1"/>
      <c r="E4" s="24" t="s">
        <v>4</v>
      </c>
      <c r="F4" s="96" t="s">
        <v>326</v>
      </c>
      <c r="G4" s="396" t="s">
        <v>320</v>
      </c>
      <c r="H4" s="106" t="s">
        <v>322</v>
      </c>
      <c r="I4" s="265" t="s">
        <v>322</v>
      </c>
    </row>
    <row r="5" spans="1:9" s="21" customFormat="1" ht="15" customHeight="1" x14ac:dyDescent="0.25">
      <c r="A5" s="397" t="s">
        <v>5</v>
      </c>
      <c r="B5" s="2" t="s">
        <v>6</v>
      </c>
      <c r="C5" s="6" t="s">
        <v>7</v>
      </c>
      <c r="D5" s="3" t="s">
        <v>8</v>
      </c>
      <c r="E5" s="25" t="s">
        <v>325</v>
      </c>
      <c r="F5" s="97" t="s">
        <v>327</v>
      </c>
      <c r="G5" s="398" t="s">
        <v>321</v>
      </c>
      <c r="H5" s="108" t="s">
        <v>323</v>
      </c>
      <c r="I5" s="266" t="s">
        <v>324</v>
      </c>
    </row>
    <row r="6" spans="1:9" s="21" customFormat="1" ht="15" customHeight="1" thickBot="1" x14ac:dyDescent="0.3">
      <c r="A6" s="399" t="s">
        <v>9</v>
      </c>
      <c r="B6" s="4" t="s">
        <v>10</v>
      </c>
      <c r="C6" s="7"/>
      <c r="D6" s="400"/>
      <c r="E6" s="26" t="s">
        <v>292</v>
      </c>
      <c r="F6" s="345">
        <v>43646</v>
      </c>
      <c r="G6" s="345">
        <v>43646</v>
      </c>
      <c r="H6" s="108" t="s">
        <v>235</v>
      </c>
      <c r="I6" s="266" t="s">
        <v>235</v>
      </c>
    </row>
    <row r="7" spans="1:9" s="21" customFormat="1" ht="15.75" x14ac:dyDescent="0.25">
      <c r="A7" s="401" t="s">
        <v>11</v>
      </c>
      <c r="B7" s="402"/>
      <c r="C7" s="23"/>
      <c r="D7" s="403"/>
      <c r="E7" s="404"/>
      <c r="F7" s="283"/>
      <c r="G7" s="284"/>
      <c r="H7" s="285"/>
      <c r="I7" s="286"/>
    </row>
    <row r="8" spans="1:9" s="21" customFormat="1" x14ac:dyDescent="0.25">
      <c r="A8" s="32" t="s">
        <v>219</v>
      </c>
      <c r="B8" s="1114" t="s">
        <v>220</v>
      </c>
      <c r="C8" s="1115"/>
      <c r="D8" s="28"/>
      <c r="E8" s="30">
        <f>E9+E10</f>
        <v>100</v>
      </c>
      <c r="F8" s="114">
        <f t="shared" ref="F8:G8" si="0">F9+F10</f>
        <v>1599.4</v>
      </c>
      <c r="G8" s="30">
        <f t="shared" si="0"/>
        <v>43</v>
      </c>
      <c r="H8" s="211">
        <f>G8/E8*100</f>
        <v>43</v>
      </c>
      <c r="I8" s="212">
        <f>G8/F8*100</f>
        <v>2.6885081905714641</v>
      </c>
    </row>
    <row r="9" spans="1:9" s="21" customFormat="1" x14ac:dyDescent="0.25">
      <c r="A9" s="405"/>
      <c r="B9" s="406"/>
      <c r="C9" s="407" t="s">
        <v>333</v>
      </c>
      <c r="D9" s="408" t="s">
        <v>111</v>
      </c>
      <c r="E9" s="409">
        <v>100</v>
      </c>
      <c r="F9" s="362">
        <v>270</v>
      </c>
      <c r="G9" s="206">
        <v>27</v>
      </c>
      <c r="H9" s="207">
        <f t="shared" ref="H9" si="1">G9/E9*100</f>
        <v>27</v>
      </c>
      <c r="I9" s="208">
        <f t="shared" ref="I9:I10" si="2">G9/F9*100</f>
        <v>10</v>
      </c>
    </row>
    <row r="10" spans="1:9" s="21" customFormat="1" x14ac:dyDescent="0.25">
      <c r="A10" s="410"/>
      <c r="B10" s="411"/>
      <c r="C10" s="412" t="s">
        <v>334</v>
      </c>
      <c r="D10" s="413" t="s">
        <v>524</v>
      </c>
      <c r="E10" s="414">
        <v>0</v>
      </c>
      <c r="F10" s="362">
        <v>1329.4</v>
      </c>
      <c r="G10" s="206">
        <v>16</v>
      </c>
      <c r="H10" s="207">
        <v>0</v>
      </c>
      <c r="I10" s="208">
        <f t="shared" si="2"/>
        <v>1.203550473897999</v>
      </c>
    </row>
    <row r="11" spans="1:9" s="21" customFormat="1" x14ac:dyDescent="0.25">
      <c r="A11" s="410"/>
      <c r="B11" s="411"/>
      <c r="C11" s="412"/>
      <c r="D11" s="415"/>
      <c r="E11" s="414"/>
      <c r="F11" s="416"/>
      <c r="G11" s="206"/>
      <c r="H11" s="207"/>
      <c r="I11" s="208"/>
    </row>
    <row r="12" spans="1:9" s="21" customFormat="1" x14ac:dyDescent="0.25">
      <c r="A12" s="32" t="s">
        <v>304</v>
      </c>
      <c r="B12" s="1114" t="s">
        <v>305</v>
      </c>
      <c r="C12" s="1115"/>
      <c r="D12" s="417"/>
      <c r="E12" s="418">
        <f>E13+E14+E15+E16+E17+E19+E20+E21</f>
        <v>96970</v>
      </c>
      <c r="F12" s="419">
        <f t="shared" ref="F12:G12" si="3">F13+F14+F15+F16+F17+F19+F20+F21</f>
        <v>106921.8</v>
      </c>
      <c r="G12" s="418">
        <f t="shared" si="3"/>
        <v>57141.325000000004</v>
      </c>
      <c r="H12" s="211">
        <f>G12/E12*100</f>
        <v>58.926807259977323</v>
      </c>
      <c r="I12" s="212">
        <f>G12/F12*100</f>
        <v>53.44216520859171</v>
      </c>
    </row>
    <row r="13" spans="1:9" s="21" customFormat="1" x14ac:dyDescent="0.25">
      <c r="A13" s="32"/>
      <c r="B13" s="420">
        <v>504</v>
      </c>
      <c r="C13" s="409" t="s">
        <v>274</v>
      </c>
      <c r="D13" s="417" t="s">
        <v>522</v>
      </c>
      <c r="E13" s="414">
        <v>250</v>
      </c>
      <c r="F13" s="362">
        <v>250</v>
      </c>
      <c r="G13" s="206">
        <v>0</v>
      </c>
      <c r="H13" s="207">
        <f t="shared" ref="H13:H22" si="4">G13/E13*100</f>
        <v>0</v>
      </c>
      <c r="I13" s="208">
        <f t="shared" ref="I13:I22" si="5">G13/F13*100</f>
        <v>0</v>
      </c>
    </row>
    <row r="14" spans="1:9" s="21" customFormat="1" x14ac:dyDescent="0.25">
      <c r="A14" s="421"/>
      <c r="B14" s="420" t="s">
        <v>276</v>
      </c>
      <c r="C14" s="409" t="s">
        <v>275</v>
      </c>
      <c r="D14" s="27" t="s">
        <v>522</v>
      </c>
      <c r="E14" s="414">
        <v>150</v>
      </c>
      <c r="F14" s="362">
        <v>150</v>
      </c>
      <c r="G14" s="206">
        <v>4</v>
      </c>
      <c r="H14" s="207">
        <f t="shared" si="4"/>
        <v>2.666666666666667</v>
      </c>
      <c r="I14" s="208">
        <f t="shared" si="5"/>
        <v>2.666666666666667</v>
      </c>
    </row>
    <row r="15" spans="1:9" s="21" customFormat="1" x14ac:dyDescent="0.25">
      <c r="A15" s="421"/>
      <c r="B15" s="420"/>
      <c r="C15" s="409" t="s">
        <v>112</v>
      </c>
      <c r="D15" s="409" t="s">
        <v>113</v>
      </c>
      <c r="E15" s="422">
        <v>330</v>
      </c>
      <c r="F15" s="362">
        <v>430</v>
      </c>
      <c r="G15" s="206">
        <v>50.6</v>
      </c>
      <c r="H15" s="207">
        <f t="shared" si="4"/>
        <v>15.333333333333336</v>
      </c>
      <c r="I15" s="208">
        <f t="shared" si="5"/>
        <v>11.767441860465116</v>
      </c>
    </row>
    <row r="16" spans="1:9" s="21" customFormat="1" x14ac:dyDescent="0.25">
      <c r="A16" s="421"/>
      <c r="B16" s="420"/>
      <c r="C16" s="423" t="s">
        <v>290</v>
      </c>
      <c r="D16" s="414" t="s">
        <v>119</v>
      </c>
      <c r="E16" s="422">
        <v>8</v>
      </c>
      <c r="F16" s="362">
        <v>8</v>
      </c>
      <c r="G16" s="206">
        <v>1.67</v>
      </c>
      <c r="H16" s="207">
        <f t="shared" si="4"/>
        <v>20.875</v>
      </c>
      <c r="I16" s="208">
        <f t="shared" si="5"/>
        <v>20.875</v>
      </c>
    </row>
    <row r="17" spans="1:9" s="21" customFormat="1" x14ac:dyDescent="0.25">
      <c r="A17" s="424"/>
      <c r="B17" s="425">
        <v>501</v>
      </c>
      <c r="C17" s="426" t="s">
        <v>122</v>
      </c>
      <c r="D17" s="426" t="s">
        <v>121</v>
      </c>
      <c r="E17" s="1116">
        <v>22751</v>
      </c>
      <c r="F17" s="1118">
        <v>24184.799999999999</v>
      </c>
      <c r="G17" s="1116">
        <v>12810</v>
      </c>
      <c r="H17" s="1120">
        <f t="shared" si="4"/>
        <v>56.305217353083378</v>
      </c>
      <c r="I17" s="1112">
        <f t="shared" si="5"/>
        <v>52.967152922496773</v>
      </c>
    </row>
    <row r="18" spans="1:9" s="21" customFormat="1" x14ac:dyDescent="0.25">
      <c r="A18" s="427"/>
      <c r="B18" s="428"/>
      <c r="C18" s="429" t="s">
        <v>123</v>
      </c>
      <c r="D18" s="430"/>
      <c r="E18" s="1117"/>
      <c r="F18" s="1119"/>
      <c r="G18" s="1117"/>
      <c r="H18" s="1121"/>
      <c r="I18" s="1113"/>
    </row>
    <row r="19" spans="1:9" s="21" customFormat="1" ht="26.25" x14ac:dyDescent="0.25">
      <c r="A19" s="421"/>
      <c r="B19" s="431" t="s">
        <v>124</v>
      </c>
      <c r="C19" s="432" t="s">
        <v>294</v>
      </c>
      <c r="D19" s="433" t="s">
        <v>277</v>
      </c>
      <c r="E19" s="434">
        <v>73000</v>
      </c>
      <c r="F19" s="435">
        <v>79918</v>
      </c>
      <c r="G19" s="436">
        <v>43418</v>
      </c>
      <c r="H19" s="207">
        <f>G19/E19*100</f>
        <v>59.476712328767121</v>
      </c>
      <c r="I19" s="208">
        <f t="shared" si="5"/>
        <v>54.328186391050828</v>
      </c>
    </row>
    <row r="20" spans="1:9" s="21" customFormat="1" ht="26.25" x14ac:dyDescent="0.25">
      <c r="A20" s="421"/>
      <c r="B20" s="437"/>
      <c r="C20" s="438" t="s">
        <v>329</v>
      </c>
      <c r="D20" s="1069" t="s">
        <v>523</v>
      </c>
      <c r="E20" s="422">
        <v>1</v>
      </c>
      <c r="F20" s="362">
        <v>1501</v>
      </c>
      <c r="G20" s="206">
        <v>738</v>
      </c>
      <c r="H20" s="207">
        <f t="shared" si="4"/>
        <v>73800</v>
      </c>
      <c r="I20" s="208">
        <f t="shared" si="5"/>
        <v>49.167221852098599</v>
      </c>
    </row>
    <row r="21" spans="1:9" s="21" customFormat="1" ht="15.75" thickBot="1" x14ac:dyDescent="0.3">
      <c r="A21" s="421"/>
      <c r="B21" s="437"/>
      <c r="C21" s="430" t="s">
        <v>330</v>
      </c>
      <c r="D21" s="429" t="s">
        <v>125</v>
      </c>
      <c r="E21" s="422">
        <v>480</v>
      </c>
      <c r="F21" s="362">
        <v>480</v>
      </c>
      <c r="G21" s="206">
        <v>119.05500000000001</v>
      </c>
      <c r="H21" s="439">
        <f t="shared" si="4"/>
        <v>24.803125000000001</v>
      </c>
      <c r="I21" s="440">
        <f t="shared" si="5"/>
        <v>24.803125000000001</v>
      </c>
    </row>
    <row r="22" spans="1:9" s="445" customFormat="1" ht="17.25" customHeight="1" thickBot="1" x14ac:dyDescent="0.3">
      <c r="A22" s="1109" t="s">
        <v>16</v>
      </c>
      <c r="B22" s="1110"/>
      <c r="C22" s="1111"/>
      <c r="D22" s="441"/>
      <c r="E22" s="442">
        <f>E8+E12</f>
        <v>97070</v>
      </c>
      <c r="F22" s="443">
        <f t="shared" ref="F22:G22" si="6">F8+F12</f>
        <v>108521.2</v>
      </c>
      <c r="G22" s="442">
        <f t="shared" si="6"/>
        <v>57184.325000000004</v>
      </c>
      <c r="H22" s="146">
        <f t="shared" si="4"/>
        <v>58.910399711548365</v>
      </c>
      <c r="I22" s="444">
        <f t="shared" si="5"/>
        <v>52.694151004596343</v>
      </c>
    </row>
    <row r="23" spans="1:9" s="445" customFormat="1" ht="15.75" x14ac:dyDescent="0.25">
      <c r="A23" s="446"/>
      <c r="B23" s="446"/>
      <c r="C23" s="446"/>
      <c r="D23" s="446"/>
      <c r="E23" s="447"/>
      <c r="F23" s="448"/>
      <c r="G23" s="447"/>
      <c r="H23" s="449"/>
      <c r="I23" s="450"/>
    </row>
    <row r="24" spans="1:9" s="21" customFormat="1" ht="15.75" thickBot="1" x14ac:dyDescent="0.3">
      <c r="F24" s="100"/>
      <c r="G24" s="102"/>
      <c r="H24" s="104"/>
      <c r="I24" s="104"/>
    </row>
    <row r="25" spans="1:9" s="21" customFormat="1" x14ac:dyDescent="0.25">
      <c r="A25" s="9" t="s">
        <v>1</v>
      </c>
      <c r="B25" s="11" t="s">
        <v>2</v>
      </c>
      <c r="C25" s="10" t="s">
        <v>3</v>
      </c>
      <c r="D25" s="12"/>
      <c r="E25" s="24" t="s">
        <v>4</v>
      </c>
      <c r="F25" s="24" t="s">
        <v>326</v>
      </c>
      <c r="G25" s="335" t="s">
        <v>320</v>
      </c>
      <c r="H25" s="24" t="s">
        <v>322</v>
      </c>
      <c r="I25" s="337" t="s">
        <v>322</v>
      </c>
    </row>
    <row r="26" spans="1:9" s="21" customFormat="1" x14ac:dyDescent="0.25">
      <c r="A26" s="13" t="s">
        <v>5</v>
      </c>
      <c r="B26" s="15" t="s">
        <v>6</v>
      </c>
      <c r="C26" s="14" t="s">
        <v>7</v>
      </c>
      <c r="D26" s="16" t="s">
        <v>8</v>
      </c>
      <c r="E26" s="25" t="s">
        <v>325</v>
      </c>
      <c r="F26" s="25" t="s">
        <v>327</v>
      </c>
      <c r="G26" s="339" t="s">
        <v>321</v>
      </c>
      <c r="H26" s="25" t="s">
        <v>323</v>
      </c>
      <c r="I26" s="341" t="s">
        <v>324</v>
      </c>
    </row>
    <row r="27" spans="1:9" s="21" customFormat="1" ht="15.75" thickBot="1" x14ac:dyDescent="0.3">
      <c r="A27" s="451" t="s">
        <v>9</v>
      </c>
      <c r="B27" s="18" t="s">
        <v>10</v>
      </c>
      <c r="C27" s="20"/>
      <c r="D27" s="19"/>
      <c r="E27" s="25" t="s">
        <v>292</v>
      </c>
      <c r="F27" s="345">
        <v>43646</v>
      </c>
      <c r="G27" s="345">
        <v>43646</v>
      </c>
      <c r="H27" s="345" t="s">
        <v>235</v>
      </c>
      <c r="I27" s="341" t="s">
        <v>235</v>
      </c>
    </row>
    <row r="28" spans="1:9" s="21" customFormat="1" ht="16.5" customHeight="1" x14ac:dyDescent="0.25">
      <c r="A28" s="452" t="s">
        <v>338</v>
      </c>
      <c r="B28" s="453"/>
      <c r="C28" s="453"/>
      <c r="D28" s="453"/>
      <c r="E28" s="353"/>
      <c r="F28" s="353"/>
      <c r="G28" s="454"/>
      <c r="H28" s="353"/>
      <c r="I28" s="354"/>
    </row>
    <row r="29" spans="1:9" s="21" customFormat="1" x14ac:dyDescent="0.25">
      <c r="A29" s="309" t="s">
        <v>449</v>
      </c>
      <c r="B29" s="310" t="s">
        <v>224</v>
      </c>
      <c r="C29" s="310"/>
      <c r="D29" s="311"/>
      <c r="E29" s="291">
        <f>SUM(E30)</f>
        <v>0</v>
      </c>
      <c r="F29" s="292">
        <f t="shared" ref="F29:G29" si="7">SUM(F30)</f>
        <v>18334.599999999999</v>
      </c>
      <c r="G29" s="291">
        <f t="shared" si="7"/>
        <v>6696.5959999999995</v>
      </c>
      <c r="H29" s="455">
        <v>0</v>
      </c>
      <c r="I29" s="456">
        <f>G29/F29*100</f>
        <v>36.524363771230348</v>
      </c>
    </row>
    <row r="30" spans="1:9" s="21" customFormat="1" ht="30.75" customHeight="1" thickBot="1" x14ac:dyDescent="0.3">
      <c r="A30" s="457"/>
      <c r="B30" s="458"/>
      <c r="C30" s="1071" t="s">
        <v>450</v>
      </c>
      <c r="D30" s="1070" t="s">
        <v>525</v>
      </c>
      <c r="E30" s="459">
        <v>0</v>
      </c>
      <c r="F30" s="460">
        <v>18334.599999999999</v>
      </c>
      <c r="G30" s="461">
        <v>6696.5959999999995</v>
      </c>
      <c r="H30" s="462">
        <v>0</v>
      </c>
      <c r="I30" s="463">
        <f t="shared" ref="I30" si="8">G30/F30*100</f>
        <v>36.524363771230348</v>
      </c>
    </row>
    <row r="31" spans="1:9" s="445" customFormat="1" ht="16.5" thickBot="1" x14ac:dyDescent="0.3">
      <c r="A31" s="1107" t="s">
        <v>416</v>
      </c>
      <c r="B31" s="1108"/>
      <c r="C31" s="1108"/>
      <c r="D31" s="464"/>
      <c r="E31" s="141">
        <f>E29</f>
        <v>0</v>
      </c>
      <c r="F31" s="142">
        <f t="shared" ref="F31:G31" si="9">F29</f>
        <v>18334.599999999999</v>
      </c>
      <c r="G31" s="141">
        <f t="shared" si="9"/>
        <v>6696.5959999999995</v>
      </c>
      <c r="H31" s="465">
        <v>0</v>
      </c>
      <c r="I31" s="466">
        <f t="shared" ref="I31" si="10">G31/F31*100</f>
        <v>36.524363771230348</v>
      </c>
    </row>
    <row r="32" spans="1:9" s="21" customFormat="1" ht="15.75" thickBot="1" x14ac:dyDescent="0.3"/>
    <row r="33" spans="1:9" s="445" customFormat="1" ht="18" customHeight="1" thickBot="1" x14ac:dyDescent="0.3">
      <c r="A33" s="1109" t="s">
        <v>427</v>
      </c>
      <c r="B33" s="1110"/>
      <c r="C33" s="1111"/>
      <c r="D33" s="441"/>
      <c r="E33" s="442">
        <f>E22+E31</f>
        <v>97070</v>
      </c>
      <c r="F33" s="443">
        <f t="shared" ref="F33:G33" si="11">F22+F31</f>
        <v>126855.79999999999</v>
      </c>
      <c r="G33" s="442">
        <f t="shared" si="11"/>
        <v>63880.921000000002</v>
      </c>
      <c r="H33" s="146">
        <f t="shared" ref="H33" si="12">G33/E33*100</f>
        <v>65.809128463995066</v>
      </c>
      <c r="I33" s="444">
        <f t="shared" ref="I33" si="13">G33/F33*100</f>
        <v>50.357114928919302</v>
      </c>
    </row>
    <row r="34" spans="1:9" s="21" customFormat="1" x14ac:dyDescent="0.25">
      <c r="F34" s="100"/>
      <c r="G34" s="102"/>
      <c r="H34" s="104"/>
      <c r="I34" s="104"/>
    </row>
    <row r="35" spans="1:9" s="21" customFormat="1" x14ac:dyDescent="0.25">
      <c r="F35" s="100"/>
      <c r="G35" s="102"/>
      <c r="H35" s="104"/>
      <c r="I35" s="104"/>
    </row>
    <row r="36" spans="1:9" s="21" customFormat="1" x14ac:dyDescent="0.25">
      <c r="F36" s="100"/>
      <c r="G36" s="102"/>
      <c r="H36" s="104"/>
      <c r="I36" s="104"/>
    </row>
    <row r="37" spans="1:9" s="21" customFormat="1" x14ac:dyDescent="0.25">
      <c r="F37" s="100"/>
      <c r="G37" s="102"/>
      <c r="H37" s="104"/>
      <c r="I37" s="104"/>
    </row>
    <row r="38" spans="1:9" s="21" customFormat="1" x14ac:dyDescent="0.25">
      <c r="F38" s="100"/>
      <c r="G38" s="102"/>
      <c r="H38" s="104"/>
      <c r="I38" s="104"/>
    </row>
    <row r="39" spans="1:9" s="21" customFormat="1" x14ac:dyDescent="0.25">
      <c r="F39" s="100"/>
      <c r="G39" s="102"/>
      <c r="H39" s="104"/>
      <c r="I39" s="104"/>
    </row>
    <row r="40" spans="1:9" s="21" customFormat="1" x14ac:dyDescent="0.25">
      <c r="F40" s="100"/>
      <c r="G40" s="102"/>
      <c r="H40" s="104"/>
      <c r="I40" s="104"/>
    </row>
    <row r="41" spans="1:9" s="21" customFormat="1" x14ac:dyDescent="0.25">
      <c r="F41" s="100"/>
      <c r="G41" s="102"/>
      <c r="H41" s="104"/>
      <c r="I41" s="104"/>
    </row>
    <row r="42" spans="1:9" s="21" customFormat="1" x14ac:dyDescent="0.25">
      <c r="F42" s="100"/>
      <c r="G42" s="102"/>
      <c r="H42" s="104"/>
      <c r="I42" s="104"/>
    </row>
    <row r="43" spans="1:9" s="21" customFormat="1" x14ac:dyDescent="0.25">
      <c r="F43" s="100"/>
      <c r="G43" s="102"/>
      <c r="H43" s="104"/>
      <c r="I43" s="104"/>
    </row>
    <row r="44" spans="1:9" s="21" customFormat="1" x14ac:dyDescent="0.25">
      <c r="F44" s="100"/>
      <c r="G44" s="102"/>
      <c r="H44" s="104"/>
      <c r="I44" s="104"/>
    </row>
    <row r="45" spans="1:9" s="21" customFormat="1" x14ac:dyDescent="0.25">
      <c r="F45" s="100"/>
      <c r="G45" s="102"/>
      <c r="H45" s="104"/>
      <c r="I45" s="104"/>
    </row>
    <row r="46" spans="1:9" s="21" customFormat="1" x14ac:dyDescent="0.25">
      <c r="F46" s="100"/>
      <c r="G46" s="102"/>
      <c r="H46" s="104"/>
      <c r="I46" s="104"/>
    </row>
    <row r="47" spans="1:9" s="21" customFormat="1" x14ac:dyDescent="0.25">
      <c r="F47" s="100"/>
      <c r="G47" s="102"/>
      <c r="H47" s="104"/>
      <c r="I47" s="104"/>
    </row>
    <row r="48" spans="1:9" s="21" customFormat="1" x14ac:dyDescent="0.25">
      <c r="F48" s="100"/>
      <c r="G48" s="102"/>
      <c r="H48" s="104"/>
      <c r="I48" s="104"/>
    </row>
    <row r="49" spans="6:9" s="21" customFormat="1" x14ac:dyDescent="0.25">
      <c r="F49" s="100"/>
      <c r="G49" s="102"/>
      <c r="H49" s="104"/>
      <c r="I49" s="104"/>
    </row>
    <row r="50" spans="6:9" s="21" customFormat="1" x14ac:dyDescent="0.25">
      <c r="F50" s="100"/>
      <c r="G50" s="102"/>
      <c r="H50" s="104"/>
      <c r="I50" s="104"/>
    </row>
    <row r="51" spans="6:9" s="21" customFormat="1" x14ac:dyDescent="0.25">
      <c r="F51" s="100"/>
      <c r="G51" s="102"/>
      <c r="H51" s="104"/>
      <c r="I51" s="104"/>
    </row>
    <row r="52" spans="6:9" s="21" customFormat="1" x14ac:dyDescent="0.25">
      <c r="F52" s="100"/>
      <c r="G52" s="102"/>
      <c r="H52" s="104"/>
      <c r="I52" s="104"/>
    </row>
    <row r="53" spans="6:9" s="21" customFormat="1" x14ac:dyDescent="0.25">
      <c r="F53" s="100"/>
      <c r="G53" s="102"/>
      <c r="H53" s="104"/>
      <c r="I53" s="104"/>
    </row>
    <row r="54" spans="6:9" s="21" customFormat="1" x14ac:dyDescent="0.25">
      <c r="F54" s="100"/>
      <c r="G54" s="102"/>
      <c r="H54" s="104"/>
      <c r="I54" s="104"/>
    </row>
    <row r="55" spans="6:9" s="21" customFormat="1" x14ac:dyDescent="0.25">
      <c r="F55" s="100"/>
      <c r="G55" s="102"/>
      <c r="H55" s="104"/>
      <c r="I55" s="104"/>
    </row>
    <row r="56" spans="6:9" s="21" customFormat="1" x14ac:dyDescent="0.25">
      <c r="F56" s="100"/>
      <c r="G56" s="102"/>
      <c r="H56" s="104"/>
      <c r="I56" s="104"/>
    </row>
    <row r="57" spans="6:9" s="21" customFormat="1" x14ac:dyDescent="0.25">
      <c r="F57" s="100"/>
      <c r="G57" s="102"/>
      <c r="H57" s="104"/>
      <c r="I57" s="104"/>
    </row>
    <row r="58" spans="6:9" s="21" customFormat="1" x14ac:dyDescent="0.25">
      <c r="F58" s="100"/>
      <c r="G58" s="102"/>
      <c r="H58" s="104"/>
      <c r="I58" s="104"/>
    </row>
    <row r="59" spans="6:9" s="21" customFormat="1" x14ac:dyDescent="0.25">
      <c r="F59" s="100"/>
      <c r="G59" s="102"/>
      <c r="H59" s="104"/>
      <c r="I59" s="104"/>
    </row>
    <row r="60" spans="6:9" s="21" customFormat="1" x14ac:dyDescent="0.25">
      <c r="F60" s="100"/>
      <c r="G60" s="102"/>
      <c r="H60" s="104"/>
      <c r="I60" s="104"/>
    </row>
    <row r="61" spans="6:9" s="21" customFormat="1" x14ac:dyDescent="0.25">
      <c r="F61" s="100"/>
      <c r="G61" s="102"/>
      <c r="H61" s="104"/>
      <c r="I61" s="104"/>
    </row>
    <row r="62" spans="6:9" s="21" customFormat="1" x14ac:dyDescent="0.25">
      <c r="F62" s="100"/>
      <c r="G62" s="102"/>
      <c r="H62" s="104"/>
      <c r="I62" s="104"/>
    </row>
    <row r="63" spans="6:9" s="21" customFormat="1" ht="15" customHeight="1" x14ac:dyDescent="0.25">
      <c r="F63" s="100"/>
      <c r="G63" s="102"/>
      <c r="H63" s="104"/>
      <c r="I63" s="104"/>
    </row>
    <row r="64" spans="6:9" s="21" customFormat="1" ht="15" customHeight="1" x14ac:dyDescent="0.25">
      <c r="F64" s="100"/>
      <c r="G64" s="102"/>
      <c r="H64" s="104"/>
      <c r="I64" s="104"/>
    </row>
    <row r="65" spans="6:9" s="21" customFormat="1" x14ac:dyDescent="0.25">
      <c r="F65" s="100"/>
      <c r="G65" s="102"/>
      <c r="H65" s="104"/>
      <c r="I65" s="104"/>
    </row>
    <row r="66" spans="6:9" s="21" customFormat="1" ht="15" customHeight="1" x14ac:dyDescent="0.25">
      <c r="F66" s="100"/>
      <c r="G66" s="102"/>
      <c r="H66" s="104"/>
      <c r="I66" s="104"/>
    </row>
    <row r="67" spans="6:9" s="21" customFormat="1" ht="15" customHeight="1" x14ac:dyDescent="0.25">
      <c r="F67" s="100"/>
      <c r="G67" s="102"/>
      <c r="H67" s="104"/>
      <c r="I67" s="104"/>
    </row>
    <row r="68" spans="6:9" s="21" customFormat="1" ht="15" customHeight="1" x14ac:dyDescent="0.25">
      <c r="F68" s="100"/>
      <c r="G68" s="102"/>
      <c r="H68" s="104"/>
      <c r="I68" s="104"/>
    </row>
  </sheetData>
  <mergeCells count="10">
    <mergeCell ref="A31:C31"/>
    <mergeCell ref="A33:C33"/>
    <mergeCell ref="I17:I18"/>
    <mergeCell ref="B8:C8"/>
    <mergeCell ref="B12:C12"/>
    <mergeCell ref="A22:C22"/>
    <mergeCell ref="E17:E18"/>
    <mergeCell ref="F17:F18"/>
    <mergeCell ref="G17:G18"/>
    <mergeCell ref="H17:H18"/>
  </mergeCells>
  <printOptions horizontalCentered="1"/>
  <pageMargins left="0.43307086614173229" right="0" top="0.11811023622047245" bottom="0" header="0" footer="0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42"/>
  <sheetViews>
    <sheetView topLeftCell="A19" zoomScaleNormal="100" workbookViewId="0">
      <selection activeCell="I33" sqref="I33"/>
    </sheetView>
  </sheetViews>
  <sheetFormatPr defaultRowHeight="15" x14ac:dyDescent="0.25"/>
  <cols>
    <col min="1" max="2" width="11.28515625" style="48" customWidth="1"/>
    <col min="3" max="3" width="52.28515625" style="48" customWidth="1"/>
    <col min="4" max="4" width="37.7109375" style="48" customWidth="1"/>
    <col min="5" max="7" width="16.42578125" style="48" customWidth="1"/>
    <col min="8" max="9" width="10.7109375" style="48" customWidth="1"/>
    <col min="10" max="16384" width="9.140625" style="48"/>
  </cols>
  <sheetData>
    <row r="2" spans="1:12" ht="18" x14ac:dyDescent="0.25">
      <c r="A2" s="695" t="s">
        <v>126</v>
      </c>
      <c r="B2" s="696"/>
      <c r="C2" s="697"/>
      <c r="D2" s="696"/>
    </row>
    <row r="3" spans="1:12" ht="16.5" thickBot="1" x14ac:dyDescent="0.3">
      <c r="A3" s="696"/>
      <c r="B3" s="695"/>
      <c r="C3" s="695"/>
      <c r="D3" s="696"/>
      <c r="F3" s="538"/>
      <c r="I3" s="538" t="s">
        <v>509</v>
      </c>
    </row>
    <row r="4" spans="1:12" x14ac:dyDescent="0.25">
      <c r="A4" s="166" t="s">
        <v>1</v>
      </c>
      <c r="B4" s="168" t="s">
        <v>2</v>
      </c>
      <c r="C4" s="167" t="s">
        <v>3</v>
      </c>
      <c r="D4" s="169"/>
      <c r="E4" s="170" t="s">
        <v>4</v>
      </c>
      <c r="F4" s="170" t="s">
        <v>326</v>
      </c>
      <c r="G4" s="542" t="s">
        <v>320</v>
      </c>
      <c r="H4" s="170" t="s">
        <v>322</v>
      </c>
      <c r="I4" s="543" t="s">
        <v>322</v>
      </c>
      <c r="J4" s="544"/>
    </row>
    <row r="5" spans="1:12" x14ac:dyDescent="0.25">
      <c r="A5" s="173" t="s">
        <v>5</v>
      </c>
      <c r="B5" s="175" t="s">
        <v>6</v>
      </c>
      <c r="C5" s="174" t="s">
        <v>7</v>
      </c>
      <c r="D5" s="176" t="s">
        <v>8</v>
      </c>
      <c r="E5" s="177" t="s">
        <v>325</v>
      </c>
      <c r="F5" s="177" t="s">
        <v>327</v>
      </c>
      <c r="G5" s="548" t="s">
        <v>321</v>
      </c>
      <c r="H5" s="177" t="s">
        <v>323</v>
      </c>
      <c r="I5" s="549" t="s">
        <v>324</v>
      </c>
    </row>
    <row r="6" spans="1:12" ht="15.75" thickBot="1" x14ac:dyDescent="0.3">
      <c r="A6" s="698" t="s">
        <v>9</v>
      </c>
      <c r="B6" s="182" t="s">
        <v>10</v>
      </c>
      <c r="C6" s="181"/>
      <c r="D6" s="183"/>
      <c r="E6" s="177" t="s">
        <v>292</v>
      </c>
      <c r="F6" s="177" t="str">
        <f>[1]Kap.01!F12</f>
        <v>k 30.6.2019</v>
      </c>
      <c r="G6" s="550">
        <f>[1]Kap.01!G12</f>
        <v>43646</v>
      </c>
      <c r="H6" s="551" t="s">
        <v>235</v>
      </c>
      <c r="I6" s="549" t="s">
        <v>235</v>
      </c>
    </row>
    <row r="7" spans="1:12" ht="15.75" x14ac:dyDescent="0.25">
      <c r="A7" s="699" t="s">
        <v>11</v>
      </c>
      <c r="B7" s="700"/>
      <c r="C7" s="700"/>
      <c r="D7" s="700"/>
      <c r="E7" s="189"/>
      <c r="F7" s="189"/>
      <c r="G7" s="558"/>
      <c r="H7" s="189"/>
      <c r="I7" s="559"/>
    </row>
    <row r="8" spans="1:12" x14ac:dyDescent="0.25">
      <c r="A8" s="645" t="s">
        <v>127</v>
      </c>
      <c r="B8" s="701" t="s">
        <v>263</v>
      </c>
      <c r="C8" s="701"/>
      <c r="D8" s="702"/>
      <c r="E8" s="649">
        <f>SUM(E9:E21)</f>
        <v>20470</v>
      </c>
      <c r="F8" s="703">
        <f t="shared" ref="F8:G8" si="0">SUM(F9:F21)</f>
        <v>19724.900000000001</v>
      </c>
      <c r="G8" s="649">
        <f t="shared" si="0"/>
        <v>11759.59</v>
      </c>
      <c r="H8" s="568">
        <f>G8/E8*100</f>
        <v>57.447923790913535</v>
      </c>
      <c r="I8" s="704">
        <f>G8/F8*100</f>
        <v>59.61799552849444</v>
      </c>
      <c r="L8" s="164"/>
    </row>
    <row r="9" spans="1:12" x14ac:dyDescent="0.25">
      <c r="A9" s="645"/>
      <c r="B9" s="705">
        <v>611</v>
      </c>
      <c r="C9" s="706" t="s">
        <v>128</v>
      </c>
      <c r="D9" s="707" t="s">
        <v>129</v>
      </c>
      <c r="E9" s="53">
        <v>1000</v>
      </c>
      <c r="F9" s="574">
        <v>1300</v>
      </c>
      <c r="G9" s="575">
        <v>1067.5899999999999</v>
      </c>
      <c r="H9" s="708">
        <f t="shared" ref="H9:H31" si="1">G9/E9*100</f>
        <v>106.75899999999999</v>
      </c>
      <c r="I9" s="709">
        <f t="shared" ref="I9:I31" si="2">G9/F9*100</f>
        <v>82.122307692307686</v>
      </c>
    </row>
    <row r="10" spans="1:12" x14ac:dyDescent="0.25">
      <c r="A10" s="645"/>
      <c r="B10" s="655" t="s">
        <v>130</v>
      </c>
      <c r="C10" s="706" t="s">
        <v>260</v>
      </c>
      <c r="D10" s="710" t="s">
        <v>131</v>
      </c>
      <c r="E10" s="53">
        <v>1000</v>
      </c>
      <c r="F10" s="574">
        <v>1000</v>
      </c>
      <c r="G10" s="575">
        <v>866</v>
      </c>
      <c r="H10" s="708">
        <f t="shared" si="1"/>
        <v>86.6</v>
      </c>
      <c r="I10" s="709">
        <f t="shared" si="2"/>
        <v>86.6</v>
      </c>
    </row>
    <row r="11" spans="1:12" x14ac:dyDescent="0.25">
      <c r="A11" s="654"/>
      <c r="B11" s="655" t="s">
        <v>132</v>
      </c>
      <c r="C11" s="706" t="s">
        <v>133</v>
      </c>
      <c r="D11" s="710" t="s">
        <v>134</v>
      </c>
      <c r="E11" s="53">
        <v>2900</v>
      </c>
      <c r="F11" s="574">
        <v>2900</v>
      </c>
      <c r="G11" s="575">
        <v>1751</v>
      </c>
      <c r="H11" s="708">
        <f t="shared" si="1"/>
        <v>60.379310344827587</v>
      </c>
      <c r="I11" s="709">
        <f t="shared" si="2"/>
        <v>60.379310344827587</v>
      </c>
    </row>
    <row r="12" spans="1:12" ht="15" customHeight="1" x14ac:dyDescent="0.25">
      <c r="A12" s="654"/>
      <c r="B12" s="655" t="s">
        <v>135</v>
      </c>
      <c r="C12" s="707" t="s">
        <v>136</v>
      </c>
      <c r="D12" s="706" t="s">
        <v>137</v>
      </c>
      <c r="E12" s="53">
        <v>100</v>
      </c>
      <c r="F12" s="574">
        <v>400</v>
      </c>
      <c r="G12" s="575">
        <v>142</v>
      </c>
      <c r="H12" s="708">
        <f t="shared" si="1"/>
        <v>142</v>
      </c>
      <c r="I12" s="709">
        <f t="shared" si="2"/>
        <v>35.5</v>
      </c>
    </row>
    <row r="13" spans="1:12" x14ac:dyDescent="0.25">
      <c r="A13" s="654"/>
      <c r="B13" s="655"/>
      <c r="C13" s="707" t="s">
        <v>138</v>
      </c>
      <c r="D13" s="707" t="s">
        <v>139</v>
      </c>
      <c r="E13" s="53">
        <v>20</v>
      </c>
      <c r="F13" s="574">
        <v>98</v>
      </c>
      <c r="G13" s="575">
        <v>56</v>
      </c>
      <c r="H13" s="708">
        <f t="shared" si="1"/>
        <v>280</v>
      </c>
      <c r="I13" s="709">
        <f t="shared" si="2"/>
        <v>57.142857142857139</v>
      </c>
      <c r="L13" s="112"/>
    </row>
    <row r="14" spans="1:12" x14ac:dyDescent="0.25">
      <c r="A14" s="654"/>
      <c r="B14" s="655"/>
      <c r="C14" s="706" t="s">
        <v>140</v>
      </c>
      <c r="D14" s="707" t="s">
        <v>141</v>
      </c>
      <c r="E14" s="53">
        <v>150</v>
      </c>
      <c r="F14" s="574">
        <v>150</v>
      </c>
      <c r="G14" s="575">
        <v>42</v>
      </c>
      <c r="H14" s="708">
        <f t="shared" si="1"/>
        <v>28.000000000000004</v>
      </c>
      <c r="I14" s="709">
        <f t="shared" si="2"/>
        <v>28.000000000000004</v>
      </c>
    </row>
    <row r="15" spans="1:12" x14ac:dyDescent="0.25">
      <c r="A15" s="654"/>
      <c r="B15" s="655" t="s">
        <v>142</v>
      </c>
      <c r="C15" s="707" t="s">
        <v>319</v>
      </c>
      <c r="D15" s="707" t="s">
        <v>141</v>
      </c>
      <c r="E15" s="53">
        <v>300</v>
      </c>
      <c r="F15" s="574">
        <v>350</v>
      </c>
      <c r="G15" s="575">
        <v>155</v>
      </c>
      <c r="H15" s="708">
        <f t="shared" si="1"/>
        <v>51.666666666666671</v>
      </c>
      <c r="I15" s="709">
        <f t="shared" si="2"/>
        <v>44.285714285714285</v>
      </c>
    </row>
    <row r="16" spans="1:12" x14ac:dyDescent="0.25">
      <c r="A16" s="645"/>
      <c r="B16" s="701"/>
      <c r="C16" s="706" t="s">
        <v>143</v>
      </c>
      <c r="D16" s="706" t="s">
        <v>144</v>
      </c>
      <c r="E16" s="53">
        <v>100</v>
      </c>
      <c r="F16" s="574">
        <v>150</v>
      </c>
      <c r="G16" s="575">
        <v>54</v>
      </c>
      <c r="H16" s="708">
        <f t="shared" si="1"/>
        <v>54</v>
      </c>
      <c r="I16" s="709">
        <f t="shared" si="2"/>
        <v>36</v>
      </c>
      <c r="L16" s="112"/>
    </row>
    <row r="17" spans="1:12" x14ac:dyDescent="0.25">
      <c r="A17" s="654"/>
      <c r="B17" s="656"/>
      <c r="C17" s="706" t="s">
        <v>295</v>
      </c>
      <c r="D17" s="706" t="s">
        <v>145</v>
      </c>
      <c r="E17" s="53">
        <v>2000</v>
      </c>
      <c r="F17" s="574">
        <v>2504</v>
      </c>
      <c r="G17" s="575">
        <v>1811</v>
      </c>
      <c r="H17" s="708">
        <f t="shared" si="1"/>
        <v>90.55</v>
      </c>
      <c r="I17" s="709">
        <f t="shared" si="2"/>
        <v>72.324281150159749</v>
      </c>
    </row>
    <row r="18" spans="1:12" x14ac:dyDescent="0.25">
      <c r="A18" s="654"/>
      <c r="B18" s="655" t="s">
        <v>250</v>
      </c>
      <c r="C18" s="706" t="s">
        <v>249</v>
      </c>
      <c r="D18" s="706" t="s">
        <v>145</v>
      </c>
      <c r="E18" s="53">
        <v>300</v>
      </c>
      <c r="F18" s="574">
        <v>400</v>
      </c>
      <c r="G18" s="575">
        <v>338</v>
      </c>
      <c r="H18" s="708">
        <f t="shared" si="1"/>
        <v>112.66666666666667</v>
      </c>
      <c r="I18" s="709">
        <f t="shared" si="2"/>
        <v>84.5</v>
      </c>
    </row>
    <row r="19" spans="1:12" x14ac:dyDescent="0.25">
      <c r="A19" s="711"/>
      <c r="B19" s="655" t="s">
        <v>238</v>
      </c>
      <c r="C19" s="706" t="s">
        <v>248</v>
      </c>
      <c r="D19" s="706" t="s">
        <v>137</v>
      </c>
      <c r="E19" s="53">
        <v>5000</v>
      </c>
      <c r="F19" s="574">
        <v>5000</v>
      </c>
      <c r="G19" s="575">
        <v>2542</v>
      </c>
      <c r="H19" s="708">
        <f t="shared" si="1"/>
        <v>50.839999999999996</v>
      </c>
      <c r="I19" s="709">
        <f t="shared" si="2"/>
        <v>50.839999999999996</v>
      </c>
    </row>
    <row r="20" spans="1:12" ht="27.75" customHeight="1" x14ac:dyDescent="0.25">
      <c r="A20" s="711"/>
      <c r="B20" s="655"/>
      <c r="C20" s="706" t="s">
        <v>284</v>
      </c>
      <c r="D20" s="712" t="s">
        <v>440</v>
      </c>
      <c r="E20" s="53">
        <v>100</v>
      </c>
      <c r="F20" s="574">
        <v>182.4</v>
      </c>
      <c r="G20" s="573">
        <v>67</v>
      </c>
      <c r="H20" s="708">
        <f t="shared" si="1"/>
        <v>67</v>
      </c>
      <c r="I20" s="709">
        <f t="shared" si="2"/>
        <v>36.732456140350877</v>
      </c>
    </row>
    <row r="21" spans="1:12" x14ac:dyDescent="0.25">
      <c r="A21" s="654"/>
      <c r="B21" s="655" t="s">
        <v>335</v>
      </c>
      <c r="C21" s="706" t="s">
        <v>309</v>
      </c>
      <c r="D21" s="707" t="s">
        <v>141</v>
      </c>
      <c r="E21" s="53">
        <v>7500</v>
      </c>
      <c r="F21" s="574">
        <v>5290.5</v>
      </c>
      <c r="G21" s="573">
        <v>2868</v>
      </c>
      <c r="H21" s="708">
        <f t="shared" si="1"/>
        <v>38.24</v>
      </c>
      <c r="I21" s="709">
        <f t="shared" si="2"/>
        <v>54.210377091012198</v>
      </c>
    </row>
    <row r="22" spans="1:12" x14ac:dyDescent="0.25">
      <c r="A22" s="654"/>
      <c r="B22" s="655"/>
      <c r="C22" s="706"/>
      <c r="D22" s="707"/>
      <c r="E22" s="53"/>
      <c r="F22" s="713"/>
      <c r="G22" s="573"/>
      <c r="H22" s="714"/>
      <c r="I22" s="709"/>
    </row>
    <row r="23" spans="1:12" x14ac:dyDescent="0.25">
      <c r="A23" s="560" t="s">
        <v>483</v>
      </c>
      <c r="B23" s="561" t="s">
        <v>479</v>
      </c>
      <c r="C23" s="562"/>
      <c r="D23" s="707"/>
      <c r="E23" s="53"/>
      <c r="F23" s="713"/>
      <c r="G23" s="573"/>
      <c r="H23" s="714"/>
      <c r="I23" s="709"/>
    </row>
    <row r="24" spans="1:12" x14ac:dyDescent="0.25">
      <c r="A24" s="654"/>
      <c r="B24" s="655"/>
      <c r="C24" s="706" t="s">
        <v>484</v>
      </c>
      <c r="D24" s="707" t="s">
        <v>139</v>
      </c>
      <c r="E24" s="53">
        <v>0</v>
      </c>
      <c r="F24" s="713">
        <v>59.9</v>
      </c>
      <c r="G24" s="573">
        <v>60</v>
      </c>
      <c r="H24" s="708">
        <v>0</v>
      </c>
      <c r="I24" s="709">
        <f t="shared" ref="I24" si="3">G24/F24*100</f>
        <v>100.1669449081803</v>
      </c>
    </row>
    <row r="25" spans="1:12" x14ac:dyDescent="0.25">
      <c r="A25" s="654"/>
      <c r="B25" s="656"/>
      <c r="C25" s="706"/>
      <c r="D25" s="707"/>
      <c r="E25" s="53"/>
      <c r="F25" s="713"/>
      <c r="G25" s="573"/>
      <c r="H25" s="714"/>
      <c r="I25" s="709"/>
      <c r="L25" s="164"/>
    </row>
    <row r="26" spans="1:12" x14ac:dyDescent="0.25">
      <c r="A26" s="645" t="s">
        <v>146</v>
      </c>
      <c r="B26" s="701" t="s">
        <v>217</v>
      </c>
      <c r="C26" s="715"/>
      <c r="D26" s="715"/>
      <c r="E26" s="563">
        <f>SUM(E27:E30)</f>
        <v>1415</v>
      </c>
      <c r="F26" s="564">
        <f t="shared" ref="F26:G26" si="4">SUM(F27:F30)</f>
        <v>1415</v>
      </c>
      <c r="G26" s="563">
        <f t="shared" si="4"/>
        <v>333</v>
      </c>
      <c r="H26" s="568">
        <f t="shared" si="1"/>
        <v>23.53356890459364</v>
      </c>
      <c r="I26" s="704">
        <f t="shared" si="2"/>
        <v>23.53356890459364</v>
      </c>
    </row>
    <row r="27" spans="1:12" s="716" customFormat="1" ht="12.75" customHeight="1" x14ac:dyDescent="0.25">
      <c r="A27" s="1138"/>
      <c r="B27" s="1124"/>
      <c r="C27" s="1134" t="s">
        <v>258</v>
      </c>
      <c r="D27" s="1136" t="s">
        <v>148</v>
      </c>
      <c r="E27" s="1122">
        <v>415</v>
      </c>
      <c r="F27" s="1130">
        <v>415</v>
      </c>
      <c r="G27" s="1122">
        <v>89</v>
      </c>
      <c r="H27" s="1126">
        <f t="shared" si="1"/>
        <v>21.445783132530121</v>
      </c>
      <c r="I27" s="1128">
        <f t="shared" si="2"/>
        <v>21.445783132530121</v>
      </c>
    </row>
    <row r="28" spans="1:12" s="716" customFormat="1" ht="12.75" customHeight="1" x14ac:dyDescent="0.25">
      <c r="A28" s="1139"/>
      <c r="B28" s="1125"/>
      <c r="C28" s="1135"/>
      <c r="D28" s="1137"/>
      <c r="E28" s="1123"/>
      <c r="F28" s="1131"/>
      <c r="G28" s="1123"/>
      <c r="H28" s="1127"/>
      <c r="I28" s="1129"/>
    </row>
    <row r="29" spans="1:12" x14ac:dyDescent="0.25">
      <c r="A29" s="654"/>
      <c r="B29" s="655" t="s">
        <v>149</v>
      </c>
      <c r="C29" s="706" t="s">
        <v>259</v>
      </c>
      <c r="D29" s="706" t="s">
        <v>148</v>
      </c>
      <c r="E29" s="53">
        <v>900</v>
      </c>
      <c r="F29" s="713">
        <v>900</v>
      </c>
      <c r="G29" s="573">
        <v>235</v>
      </c>
      <c r="H29" s="708">
        <f t="shared" si="1"/>
        <v>26.111111111111114</v>
      </c>
      <c r="I29" s="709">
        <f t="shared" si="2"/>
        <v>26.111111111111114</v>
      </c>
    </row>
    <row r="30" spans="1:12" ht="15.75" thickBot="1" x14ac:dyDescent="0.3">
      <c r="A30" s="650"/>
      <c r="B30" s="717"/>
      <c r="C30" s="562" t="s">
        <v>150</v>
      </c>
      <c r="D30" s="718" t="s">
        <v>141</v>
      </c>
      <c r="E30" s="658">
        <v>100</v>
      </c>
      <c r="F30" s="719">
        <v>100</v>
      </c>
      <c r="G30" s="720">
        <v>9</v>
      </c>
      <c r="H30" s="708">
        <f t="shared" si="1"/>
        <v>9</v>
      </c>
      <c r="I30" s="709">
        <f t="shared" si="2"/>
        <v>9</v>
      </c>
    </row>
    <row r="31" spans="1:12" s="726" customFormat="1" ht="16.5" thickBot="1" x14ac:dyDescent="0.3">
      <c r="A31" s="1132" t="s">
        <v>16</v>
      </c>
      <c r="B31" s="1133"/>
      <c r="C31" s="1133"/>
      <c r="D31" s="721"/>
      <c r="E31" s="722">
        <f>E8+E26+E24</f>
        <v>21885</v>
      </c>
      <c r="F31" s="723">
        <f t="shared" ref="F31:G31" si="5">F8+F26+F24</f>
        <v>21199.800000000003</v>
      </c>
      <c r="G31" s="722">
        <f t="shared" si="5"/>
        <v>12152.59</v>
      </c>
      <c r="H31" s="724">
        <f t="shared" si="1"/>
        <v>55.529312314370571</v>
      </c>
      <c r="I31" s="725">
        <f t="shared" si="2"/>
        <v>57.324078529042723</v>
      </c>
    </row>
    <row r="32" spans="1:12" x14ac:dyDescent="0.25">
      <c r="A32" s="727"/>
      <c r="B32" s="727"/>
      <c r="C32" s="727"/>
      <c r="D32" s="727"/>
    </row>
    <row r="33" spans="1:9" ht="15.75" thickBot="1" x14ac:dyDescent="0.3"/>
    <row r="34" spans="1:9" x14ac:dyDescent="0.25">
      <c r="A34" s="166" t="s">
        <v>1</v>
      </c>
      <c r="B34" s="168" t="s">
        <v>2</v>
      </c>
      <c r="C34" s="167" t="s">
        <v>3</v>
      </c>
      <c r="D34" s="169"/>
      <c r="E34" s="170" t="s">
        <v>4</v>
      </c>
      <c r="F34" s="170" t="s">
        <v>326</v>
      </c>
      <c r="G34" s="542" t="s">
        <v>320</v>
      </c>
      <c r="H34" s="170" t="s">
        <v>322</v>
      </c>
      <c r="I34" s="543" t="s">
        <v>322</v>
      </c>
    </row>
    <row r="35" spans="1:9" x14ac:dyDescent="0.25">
      <c r="A35" s="173" t="s">
        <v>5</v>
      </c>
      <c r="B35" s="175" t="s">
        <v>6</v>
      </c>
      <c r="C35" s="174" t="s">
        <v>7</v>
      </c>
      <c r="D35" s="176" t="s">
        <v>8</v>
      </c>
      <c r="E35" s="177" t="s">
        <v>325</v>
      </c>
      <c r="F35" s="177" t="s">
        <v>327</v>
      </c>
      <c r="G35" s="548" t="s">
        <v>321</v>
      </c>
      <c r="H35" s="177" t="s">
        <v>323</v>
      </c>
      <c r="I35" s="549" t="s">
        <v>324</v>
      </c>
    </row>
    <row r="36" spans="1:9" ht="15.75" thickBot="1" x14ac:dyDescent="0.3">
      <c r="A36" s="698" t="s">
        <v>9</v>
      </c>
      <c r="B36" s="182" t="s">
        <v>10</v>
      </c>
      <c r="C36" s="181"/>
      <c r="D36" s="183"/>
      <c r="E36" s="177" t="s">
        <v>292</v>
      </c>
      <c r="F36" s="177" t="str">
        <f>[1]Kap.01!F12</f>
        <v>k 30.6.2019</v>
      </c>
      <c r="G36" s="550">
        <f>[1]Kap.01!G12</f>
        <v>43646</v>
      </c>
      <c r="H36" s="551" t="s">
        <v>235</v>
      </c>
      <c r="I36" s="549" t="s">
        <v>235</v>
      </c>
    </row>
    <row r="37" spans="1:9" ht="16.5" customHeight="1" x14ac:dyDescent="0.25">
      <c r="A37" s="699" t="s">
        <v>338</v>
      </c>
      <c r="B37" s="700"/>
      <c r="C37" s="700"/>
      <c r="D37" s="700"/>
      <c r="E37" s="189"/>
      <c r="F37" s="189"/>
      <c r="G37" s="558"/>
      <c r="H37" s="189"/>
      <c r="I37" s="559"/>
    </row>
    <row r="38" spans="1:9" x14ac:dyDescent="0.25">
      <c r="A38" s="680" t="s">
        <v>483</v>
      </c>
      <c r="B38" s="681" t="s">
        <v>479</v>
      </c>
      <c r="C38" s="681"/>
      <c r="D38" s="728"/>
      <c r="E38" s="682">
        <f>SUM(E39)</f>
        <v>1430</v>
      </c>
      <c r="F38" s="683">
        <f t="shared" ref="F38:G38" si="6">SUM(F39)</f>
        <v>738.1</v>
      </c>
      <c r="G38" s="682">
        <f t="shared" si="6"/>
        <v>738</v>
      </c>
      <c r="H38" s="729">
        <f>G38/E38*100</f>
        <v>51.608391608391614</v>
      </c>
      <c r="I38" s="730">
        <f>G38/F38*100</f>
        <v>99.986451700311605</v>
      </c>
    </row>
    <row r="39" spans="1:9" s="692" customFormat="1" ht="27" thickBot="1" x14ac:dyDescent="0.3">
      <c r="A39" s="680"/>
      <c r="B39" s="731"/>
      <c r="C39" s="732" t="s">
        <v>404</v>
      </c>
      <c r="D39" s="660" t="s">
        <v>139</v>
      </c>
      <c r="E39" s="733">
        <v>1430</v>
      </c>
      <c r="F39" s="734">
        <v>738.1</v>
      </c>
      <c r="G39" s="684">
        <v>738</v>
      </c>
      <c r="H39" s="735">
        <f>G39/E39*100</f>
        <v>51.608391608391614</v>
      </c>
      <c r="I39" s="736">
        <f>G39/F39*100</f>
        <v>99.986451700311605</v>
      </c>
    </row>
    <row r="40" spans="1:9" s="726" customFormat="1" ht="16.5" thickBot="1" x14ac:dyDescent="0.3">
      <c r="A40" s="1132" t="s">
        <v>416</v>
      </c>
      <c r="B40" s="1133"/>
      <c r="C40" s="1133"/>
      <c r="D40" s="721"/>
      <c r="E40" s="722">
        <f>E38</f>
        <v>1430</v>
      </c>
      <c r="F40" s="723">
        <f t="shared" ref="F40:G40" si="7">F38</f>
        <v>738.1</v>
      </c>
      <c r="G40" s="722">
        <f t="shared" si="7"/>
        <v>738</v>
      </c>
      <c r="H40" s="724">
        <f t="shared" ref="H40" si="8">G40/E40*100</f>
        <v>51.608391608391614</v>
      </c>
      <c r="I40" s="725">
        <f t="shared" ref="I40" si="9">G40/F40*100</f>
        <v>99.986451700311605</v>
      </c>
    </row>
    <row r="41" spans="1:9" ht="15.75" thickBot="1" x14ac:dyDescent="0.3"/>
    <row r="42" spans="1:9" s="726" customFormat="1" ht="16.5" thickBot="1" x14ac:dyDescent="0.3">
      <c r="A42" s="1132" t="s">
        <v>420</v>
      </c>
      <c r="B42" s="1133"/>
      <c r="C42" s="1133"/>
      <c r="D42" s="721"/>
      <c r="E42" s="722">
        <f>E31+E40</f>
        <v>23315</v>
      </c>
      <c r="F42" s="723">
        <f t="shared" ref="F42:G42" si="10">F31+F40</f>
        <v>21937.9</v>
      </c>
      <c r="G42" s="722">
        <f t="shared" si="10"/>
        <v>12890.59</v>
      </c>
      <c r="H42" s="724">
        <f t="shared" ref="H42" si="11">G42/E42*100</f>
        <v>55.288826935449286</v>
      </c>
      <c r="I42" s="725">
        <f t="shared" ref="I42" si="12">G42/F42*100</f>
        <v>58.759452819093895</v>
      </c>
    </row>
  </sheetData>
  <mergeCells count="12">
    <mergeCell ref="A40:C40"/>
    <mergeCell ref="A42:C42"/>
    <mergeCell ref="A31:C31"/>
    <mergeCell ref="C27:C28"/>
    <mergeCell ref="D27:D28"/>
    <mergeCell ref="A27:A28"/>
    <mergeCell ref="E27:E28"/>
    <mergeCell ref="B27:B28"/>
    <mergeCell ref="G27:G28"/>
    <mergeCell ref="H27:H28"/>
    <mergeCell ref="I27:I28"/>
    <mergeCell ref="F27:F28"/>
  </mergeCells>
  <printOptions horizontalCentered="1"/>
  <pageMargins left="0.43307086614173229" right="0" top="0.11811023622047245" bottom="0" header="0" footer="0"/>
  <pageSetup paperSize="9" scale="77" fitToHeight="0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9684-4637-44B1-B345-34ABC113D253}">
  <sheetPr>
    <pageSetUpPr fitToPage="1"/>
  </sheetPr>
  <dimension ref="A2:I33"/>
  <sheetViews>
    <sheetView topLeftCell="A13" zoomScaleNormal="100" workbookViewId="0">
      <selection activeCell="I33" sqref="I33"/>
    </sheetView>
  </sheetViews>
  <sheetFormatPr defaultRowHeight="15" x14ac:dyDescent="0.25"/>
  <cols>
    <col min="1" max="2" width="11.28515625" style="48" customWidth="1"/>
    <col min="3" max="3" width="52.28515625" style="48" customWidth="1"/>
    <col min="4" max="4" width="37.7109375" style="48" customWidth="1"/>
    <col min="5" max="7" width="16.42578125" style="48" customWidth="1"/>
    <col min="8" max="9" width="10.7109375" style="48" customWidth="1"/>
    <col min="10" max="16384" width="9.140625" style="48"/>
  </cols>
  <sheetData>
    <row r="2" spans="1:9" ht="15.75" x14ac:dyDescent="0.25">
      <c r="A2" s="737" t="s">
        <v>151</v>
      </c>
      <c r="B2" s="738"/>
      <c r="C2" s="738"/>
    </row>
    <row r="3" spans="1:9" ht="15.75" thickBot="1" x14ac:dyDescent="0.3">
      <c r="E3" s="739"/>
      <c r="G3" s="538"/>
      <c r="H3" s="538"/>
      <c r="I3" s="538" t="s">
        <v>508</v>
      </c>
    </row>
    <row r="4" spans="1:9" x14ac:dyDescent="0.25">
      <c r="A4" s="166" t="s">
        <v>1</v>
      </c>
      <c r="B4" s="167" t="s">
        <v>2</v>
      </c>
      <c r="C4" s="168" t="s">
        <v>3</v>
      </c>
      <c r="D4" s="169"/>
      <c r="E4" s="170" t="s">
        <v>336</v>
      </c>
      <c r="F4" s="170" t="s">
        <v>326</v>
      </c>
      <c r="G4" s="171" t="s">
        <v>320</v>
      </c>
      <c r="H4" s="171" t="s">
        <v>337</v>
      </c>
      <c r="I4" s="172" t="s">
        <v>337</v>
      </c>
    </row>
    <row r="5" spans="1:9" x14ac:dyDescent="0.25">
      <c r="A5" s="173" t="s">
        <v>5</v>
      </c>
      <c r="B5" s="174" t="s">
        <v>6</v>
      </c>
      <c r="C5" s="175" t="s">
        <v>7</v>
      </c>
      <c r="D5" s="176" t="s">
        <v>8</v>
      </c>
      <c r="E5" s="177" t="s">
        <v>325</v>
      </c>
      <c r="F5" s="177" t="s">
        <v>327</v>
      </c>
      <c r="G5" s="178" t="s">
        <v>321</v>
      </c>
      <c r="H5" s="178" t="s">
        <v>323</v>
      </c>
      <c r="I5" s="179" t="s">
        <v>324</v>
      </c>
    </row>
    <row r="6" spans="1:9" ht="15" customHeight="1" thickBot="1" x14ac:dyDescent="0.3">
      <c r="A6" s="180" t="s">
        <v>9</v>
      </c>
      <c r="B6" s="181" t="s">
        <v>10</v>
      </c>
      <c r="C6" s="182"/>
      <c r="D6" s="183"/>
      <c r="E6" s="184" t="s">
        <v>292</v>
      </c>
      <c r="F6" s="184" t="str">
        <f>[1]Kap.01!F12</f>
        <v>k 30.6.2019</v>
      </c>
      <c r="G6" s="185">
        <f>[1]Kap.01!G12</f>
        <v>43646</v>
      </c>
      <c r="H6" s="186"/>
      <c r="I6" s="187"/>
    </row>
    <row r="7" spans="1:9" ht="15.75" x14ac:dyDescent="0.25">
      <c r="A7" s="740" t="s">
        <v>11</v>
      </c>
      <c r="B7" s="741"/>
      <c r="C7" s="188"/>
      <c r="D7" s="742"/>
      <c r="E7" s="743"/>
      <c r="F7" s="744"/>
      <c r="G7" s="190"/>
      <c r="H7" s="743"/>
      <c r="I7" s="191"/>
    </row>
    <row r="8" spans="1:9" ht="15" customHeight="1" x14ac:dyDescent="0.25">
      <c r="A8" s="745" t="s">
        <v>489</v>
      </c>
      <c r="B8" s="746" t="s">
        <v>490</v>
      </c>
      <c r="C8" s="626"/>
      <c r="D8" s="751"/>
      <c r="E8" s="748">
        <f>E9+E11+E16</f>
        <v>351</v>
      </c>
      <c r="F8" s="749">
        <f>F9+F11+F16</f>
        <v>351</v>
      </c>
      <c r="G8" s="748">
        <f>G9+G11+G16</f>
        <v>16</v>
      </c>
      <c r="H8" s="192">
        <f t="shared" ref="H8:H21" si="0">G8/E8*100</f>
        <v>4.5584045584045585</v>
      </c>
      <c r="I8" s="193">
        <f t="shared" ref="I8:I21" si="1">G8/F8*100</f>
        <v>4.5584045584045585</v>
      </c>
    </row>
    <row r="9" spans="1:9" ht="15" customHeight="1" x14ac:dyDescent="0.25">
      <c r="A9" s="752"/>
      <c r="B9" s="750"/>
      <c r="C9" s="753" t="s">
        <v>261</v>
      </c>
      <c r="D9" s="754" t="s">
        <v>152</v>
      </c>
      <c r="E9" s="753">
        <v>50</v>
      </c>
      <c r="F9" s="755">
        <v>50</v>
      </c>
      <c r="G9" s="756">
        <v>0</v>
      </c>
      <c r="H9" s="150">
        <f t="shared" si="0"/>
        <v>0</v>
      </c>
      <c r="I9" s="151">
        <f t="shared" si="1"/>
        <v>0</v>
      </c>
    </row>
    <row r="10" spans="1:9" ht="15" customHeight="1" x14ac:dyDescent="0.25">
      <c r="A10" s="752"/>
      <c r="B10" s="750"/>
      <c r="C10" s="753"/>
      <c r="D10" s="747"/>
      <c r="E10" s="753"/>
      <c r="F10" s="755"/>
      <c r="G10" s="756"/>
      <c r="H10" s="192"/>
      <c r="I10" s="193"/>
    </row>
    <row r="11" spans="1:9" ht="15" customHeight="1" x14ac:dyDescent="0.25">
      <c r="A11" s="757"/>
      <c r="B11" s="758"/>
      <c r="C11" s="759" t="s">
        <v>153</v>
      </c>
      <c r="D11" s="760" t="s">
        <v>152</v>
      </c>
      <c r="E11" s="893">
        <f>E12+E13+E14</f>
        <v>200</v>
      </c>
      <c r="F11" s="755">
        <f>F12+F13+F14</f>
        <v>200</v>
      </c>
      <c r="G11" s="893">
        <f>G12+G13+G14</f>
        <v>0</v>
      </c>
      <c r="H11" s="150">
        <f t="shared" si="0"/>
        <v>0</v>
      </c>
      <c r="I11" s="151">
        <f t="shared" si="1"/>
        <v>0</v>
      </c>
    </row>
    <row r="12" spans="1:9" ht="15" customHeight="1" x14ac:dyDescent="0.25">
      <c r="A12" s="757"/>
      <c r="B12" s="758"/>
      <c r="C12" s="759"/>
      <c r="D12" s="74" t="s">
        <v>155</v>
      </c>
      <c r="E12" s="65">
        <v>80</v>
      </c>
      <c r="F12" s="138">
        <v>80</v>
      </c>
      <c r="G12" s="761">
        <v>0</v>
      </c>
      <c r="H12" s="150">
        <f t="shared" si="0"/>
        <v>0</v>
      </c>
      <c r="I12" s="151">
        <f t="shared" si="1"/>
        <v>0</v>
      </c>
    </row>
    <row r="13" spans="1:9" ht="15" customHeight="1" x14ac:dyDescent="0.25">
      <c r="A13" s="757"/>
      <c r="B13" s="758"/>
      <c r="C13" s="759"/>
      <c r="D13" s="74" t="s">
        <v>105</v>
      </c>
      <c r="E13" s="65">
        <v>100</v>
      </c>
      <c r="F13" s="138">
        <v>100</v>
      </c>
      <c r="G13" s="761">
        <v>0</v>
      </c>
      <c r="H13" s="150">
        <f t="shared" si="0"/>
        <v>0</v>
      </c>
      <c r="I13" s="151">
        <f t="shared" si="1"/>
        <v>0</v>
      </c>
    </row>
    <row r="14" spans="1:9" ht="15" customHeight="1" x14ac:dyDescent="0.25">
      <c r="A14" s="757"/>
      <c r="B14" s="758"/>
      <c r="C14" s="759"/>
      <c r="D14" s="74" t="s">
        <v>157</v>
      </c>
      <c r="E14" s="65">
        <v>20</v>
      </c>
      <c r="F14" s="138">
        <v>20</v>
      </c>
      <c r="G14" s="761">
        <v>0</v>
      </c>
      <c r="H14" s="150">
        <f t="shared" si="0"/>
        <v>0</v>
      </c>
      <c r="I14" s="151">
        <f t="shared" si="1"/>
        <v>0</v>
      </c>
    </row>
    <row r="15" spans="1:9" ht="15" customHeight="1" x14ac:dyDescent="0.25">
      <c r="A15" s="757"/>
      <c r="B15" s="758"/>
      <c r="C15" s="759"/>
      <c r="D15" s="760"/>
      <c r="E15" s="753"/>
      <c r="F15" s="755"/>
      <c r="G15" s="756"/>
      <c r="H15" s="192"/>
      <c r="I15" s="193"/>
    </row>
    <row r="16" spans="1:9" ht="15" customHeight="1" x14ac:dyDescent="0.25">
      <c r="A16" s="752"/>
      <c r="B16" s="762"/>
      <c r="C16" s="763"/>
      <c r="D16" s="764" t="s">
        <v>159</v>
      </c>
      <c r="E16" s="894">
        <f>SUM(E17:E20)</f>
        <v>101</v>
      </c>
      <c r="F16" s="895">
        <f>SUM(F17:F20)</f>
        <v>101</v>
      </c>
      <c r="G16" s="894">
        <f>SUM(G17:G20)</f>
        <v>16</v>
      </c>
      <c r="H16" s="150">
        <f t="shared" si="0"/>
        <v>15.841584158415841</v>
      </c>
      <c r="I16" s="151">
        <f t="shared" si="1"/>
        <v>15.841584158415841</v>
      </c>
    </row>
    <row r="17" spans="1:9" ht="31.5" customHeight="1" x14ac:dyDescent="0.25">
      <c r="A17" s="765"/>
      <c r="B17" s="766"/>
      <c r="C17" s="1073" t="s">
        <v>158</v>
      </c>
      <c r="D17" s="1072" t="s">
        <v>526</v>
      </c>
      <c r="E17" s="74">
        <v>50</v>
      </c>
      <c r="F17" s="138">
        <v>50</v>
      </c>
      <c r="G17" s="761">
        <v>6</v>
      </c>
      <c r="H17" s="150">
        <f t="shared" si="0"/>
        <v>12</v>
      </c>
      <c r="I17" s="151">
        <f t="shared" si="1"/>
        <v>12</v>
      </c>
    </row>
    <row r="18" spans="1:9" ht="15" customHeight="1" x14ac:dyDescent="0.25">
      <c r="A18" s="765"/>
      <c r="B18" s="766"/>
      <c r="C18" s="899" t="s">
        <v>318</v>
      </c>
      <c r="D18" s="74" t="s">
        <v>317</v>
      </c>
      <c r="E18" s="74">
        <v>1</v>
      </c>
      <c r="F18" s="138">
        <v>1</v>
      </c>
      <c r="G18" s="761">
        <v>0</v>
      </c>
      <c r="H18" s="150">
        <f t="shared" si="0"/>
        <v>0</v>
      </c>
      <c r="I18" s="151">
        <f t="shared" si="1"/>
        <v>0</v>
      </c>
    </row>
    <row r="19" spans="1:9" ht="15" customHeight="1" x14ac:dyDescent="0.25">
      <c r="A19" s="765"/>
      <c r="B19" s="766"/>
      <c r="C19" s="899" t="s">
        <v>447</v>
      </c>
      <c r="D19" s="74" t="s">
        <v>448</v>
      </c>
      <c r="E19" s="767">
        <v>0</v>
      </c>
      <c r="F19" s="768">
        <v>10</v>
      </c>
      <c r="G19" s="769">
        <v>10</v>
      </c>
      <c r="H19" s="150">
        <v>0</v>
      </c>
      <c r="I19" s="151">
        <f t="shared" si="1"/>
        <v>100</v>
      </c>
    </row>
    <row r="20" spans="1:9" ht="15" customHeight="1" thickBot="1" x14ac:dyDescent="0.3">
      <c r="A20" s="765"/>
      <c r="B20" s="766"/>
      <c r="C20" s="900" t="s">
        <v>310</v>
      </c>
      <c r="D20" s="767" t="s">
        <v>105</v>
      </c>
      <c r="E20" s="767">
        <v>50</v>
      </c>
      <c r="F20" s="768">
        <v>40</v>
      </c>
      <c r="G20" s="769">
        <v>0</v>
      </c>
      <c r="H20" s="770">
        <f t="shared" si="0"/>
        <v>0</v>
      </c>
      <c r="I20" s="771">
        <f t="shared" si="1"/>
        <v>0</v>
      </c>
    </row>
    <row r="21" spans="1:9" s="726" customFormat="1" ht="16.5" thickBot="1" x14ac:dyDescent="0.3">
      <c r="A21" s="1140" t="s">
        <v>16</v>
      </c>
      <c r="B21" s="1141"/>
      <c r="C21" s="1142"/>
      <c r="D21" s="281"/>
      <c r="E21" s="148">
        <f>E9+E11+E16</f>
        <v>351</v>
      </c>
      <c r="F21" s="772">
        <f>F9+F11+F16</f>
        <v>351</v>
      </c>
      <c r="G21" s="148">
        <f>G9+G11+G16</f>
        <v>16</v>
      </c>
      <c r="H21" s="773">
        <f t="shared" si="0"/>
        <v>4.5584045584045585</v>
      </c>
      <c r="I21" s="204">
        <f t="shared" si="1"/>
        <v>4.5584045584045585</v>
      </c>
    </row>
    <row r="22" spans="1:9" ht="14.1" customHeight="1" x14ac:dyDescent="0.25">
      <c r="A22" s="727"/>
      <c r="B22" s="727"/>
      <c r="C22" s="727"/>
      <c r="D22" s="727"/>
      <c r="E22" s="727"/>
    </row>
    <row r="23" spans="1:9" ht="12.95" customHeight="1" x14ac:dyDescent="0.25"/>
    <row r="24" spans="1:9" ht="12.95" customHeight="1" thickBot="1" x14ac:dyDescent="0.3"/>
    <row r="25" spans="1:9" ht="12.95" customHeight="1" x14ac:dyDescent="0.25">
      <c r="A25" s="194" t="s">
        <v>1</v>
      </c>
      <c r="B25" s="195" t="s">
        <v>2</v>
      </c>
      <c r="C25" s="196" t="s">
        <v>3</v>
      </c>
      <c r="D25" s="774"/>
      <c r="E25" s="170" t="s">
        <v>336</v>
      </c>
      <c r="F25" s="170" t="s">
        <v>326</v>
      </c>
      <c r="G25" s="171" t="s">
        <v>320</v>
      </c>
      <c r="H25" s="171" t="s">
        <v>337</v>
      </c>
      <c r="I25" s="172" t="s">
        <v>337</v>
      </c>
    </row>
    <row r="26" spans="1:9" ht="12.95" customHeight="1" x14ac:dyDescent="0.25">
      <c r="A26" s="197" t="s">
        <v>5</v>
      </c>
      <c r="B26" s="198" t="s">
        <v>6</v>
      </c>
      <c r="C26" s="199" t="s">
        <v>7</v>
      </c>
      <c r="D26" s="200" t="s">
        <v>8</v>
      </c>
      <c r="E26" s="177" t="s">
        <v>325</v>
      </c>
      <c r="F26" s="177" t="s">
        <v>327</v>
      </c>
      <c r="G26" s="178" t="s">
        <v>321</v>
      </c>
      <c r="H26" s="178" t="s">
        <v>323</v>
      </c>
      <c r="I26" s="179" t="s">
        <v>324</v>
      </c>
    </row>
    <row r="27" spans="1:9" ht="12.95" customHeight="1" thickBot="1" x14ac:dyDescent="0.3">
      <c r="A27" s="81" t="s">
        <v>9</v>
      </c>
      <c r="B27" s="82" t="s">
        <v>10</v>
      </c>
      <c r="C27" s="83"/>
      <c r="D27" s="775"/>
      <c r="E27" s="184" t="s">
        <v>292</v>
      </c>
      <c r="F27" s="184" t="str">
        <f>[1]Kap.01!F12</f>
        <v>k 30.6.2019</v>
      </c>
      <c r="G27" s="185">
        <f>[1]Kap.01!G12</f>
        <v>43646</v>
      </c>
      <c r="H27" s="186"/>
      <c r="I27" s="187"/>
    </row>
    <row r="28" spans="1:9" ht="16.5" customHeight="1" x14ac:dyDescent="0.25">
      <c r="A28" s="740" t="s">
        <v>338</v>
      </c>
      <c r="B28" s="741"/>
      <c r="C28" s="188"/>
      <c r="D28" s="742"/>
      <c r="E28" s="743"/>
      <c r="F28" s="744"/>
      <c r="G28" s="190"/>
      <c r="H28" s="743"/>
      <c r="I28" s="191"/>
    </row>
    <row r="29" spans="1:9" ht="17.25" customHeight="1" x14ac:dyDescent="0.25">
      <c r="A29" s="752" t="s">
        <v>405</v>
      </c>
      <c r="B29" s="1087" t="s">
        <v>406</v>
      </c>
      <c r="C29" s="1087"/>
      <c r="D29" s="776"/>
      <c r="E29" s="777">
        <f>SUM(E30)</f>
        <v>0</v>
      </c>
      <c r="F29" s="778">
        <f t="shared" ref="F29:G29" si="2">SUM(F30)</f>
        <v>1788.3</v>
      </c>
      <c r="G29" s="777">
        <f t="shared" si="2"/>
        <v>1788</v>
      </c>
      <c r="H29" s="201">
        <v>0</v>
      </c>
      <c r="I29" s="193">
        <f t="shared" ref="I29:I30" si="3">G29/F29*100</f>
        <v>99.983224291226307</v>
      </c>
    </row>
    <row r="30" spans="1:9" ht="13.5" customHeight="1" thickBot="1" x14ac:dyDescent="0.3">
      <c r="A30" s="752"/>
      <c r="B30" s="626"/>
      <c r="C30" s="619" t="s">
        <v>407</v>
      </c>
      <c r="D30" s="764" t="s">
        <v>159</v>
      </c>
      <c r="E30" s="620">
        <v>0</v>
      </c>
      <c r="F30" s="621">
        <v>1788.3</v>
      </c>
      <c r="G30" s="688">
        <v>1788</v>
      </c>
      <c r="H30" s="202">
        <v>0</v>
      </c>
      <c r="I30" s="151">
        <f t="shared" si="3"/>
        <v>99.983224291226307</v>
      </c>
    </row>
    <row r="31" spans="1:9" s="726" customFormat="1" ht="16.5" thickBot="1" x14ac:dyDescent="0.3">
      <c r="A31" s="1140" t="s">
        <v>416</v>
      </c>
      <c r="B31" s="1141"/>
      <c r="C31" s="1142"/>
      <c r="D31" s="281"/>
      <c r="E31" s="148">
        <f>E29</f>
        <v>0</v>
      </c>
      <c r="F31" s="772">
        <f t="shared" ref="F31:G31" si="4">F29</f>
        <v>1788.3</v>
      </c>
      <c r="G31" s="148">
        <f t="shared" si="4"/>
        <v>1788</v>
      </c>
      <c r="H31" s="773">
        <v>0</v>
      </c>
      <c r="I31" s="204">
        <f t="shared" ref="I31" si="5">G31/F31*100</f>
        <v>99.983224291226307</v>
      </c>
    </row>
    <row r="32" spans="1:9" ht="15.75" thickBot="1" x14ac:dyDescent="0.3"/>
    <row r="33" spans="1:9" s="726" customFormat="1" ht="16.5" thickBot="1" x14ac:dyDescent="0.3">
      <c r="A33" s="1140" t="s">
        <v>421</v>
      </c>
      <c r="B33" s="1141"/>
      <c r="C33" s="1142"/>
      <c r="D33" s="281"/>
      <c r="E33" s="148">
        <f>E21+E31</f>
        <v>351</v>
      </c>
      <c r="F33" s="772">
        <f t="shared" ref="F33:G33" si="6">F21+F31</f>
        <v>2139.3000000000002</v>
      </c>
      <c r="G33" s="148">
        <f t="shared" si="6"/>
        <v>1804</v>
      </c>
      <c r="H33" s="1004">
        <v>0</v>
      </c>
      <c r="I33" s="1005">
        <f t="shared" ref="I33" si="7">G33/F33*100</f>
        <v>84.326648903847044</v>
      </c>
    </row>
  </sheetData>
  <mergeCells count="4">
    <mergeCell ref="A21:C21"/>
    <mergeCell ref="B29:C29"/>
    <mergeCell ref="A31:C31"/>
    <mergeCell ref="A33:C33"/>
  </mergeCells>
  <printOptions horizontalCentered="1"/>
  <pageMargins left="0.43307086614173229" right="0" top="0.11811023622047245" bottom="0" header="0" footer="0"/>
  <pageSetup paperSize="9" scale="7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0792-C52F-43DE-9D9F-78ECB5DECAB0}">
  <sheetPr>
    <pageSetUpPr fitToPage="1"/>
  </sheetPr>
  <dimension ref="A1:K73"/>
  <sheetViews>
    <sheetView topLeftCell="A16" zoomScaleNormal="100" workbookViewId="0">
      <selection activeCell="C38" sqref="C38"/>
    </sheetView>
  </sheetViews>
  <sheetFormatPr defaultRowHeight="15" x14ac:dyDescent="0.25"/>
  <cols>
    <col min="1" max="2" width="11.28515625" style="156" customWidth="1"/>
    <col min="3" max="3" width="52.28515625" style="156" customWidth="1"/>
    <col min="4" max="4" width="37.7109375" style="156" customWidth="1"/>
    <col min="5" max="7" width="16.42578125" style="156" customWidth="1"/>
    <col min="8" max="9" width="10.7109375" style="156" customWidth="1"/>
    <col min="10" max="16384" width="9.140625" style="156"/>
  </cols>
  <sheetData>
    <row r="1" spans="1:11" s="21" customFormat="1" x14ac:dyDescent="0.25"/>
    <row r="2" spans="1:11" s="21" customFormat="1" ht="15.75" x14ac:dyDescent="0.25">
      <c r="A2" s="1143" t="s">
        <v>161</v>
      </c>
      <c r="B2" s="1143"/>
      <c r="C2" s="1143"/>
      <c r="D2" s="1143"/>
      <c r="E2" s="467"/>
    </row>
    <row r="3" spans="1:11" s="21" customFormat="1" ht="16.5" thickBot="1" x14ac:dyDescent="0.3">
      <c r="A3" s="468"/>
      <c r="B3" s="468"/>
      <c r="C3" s="468"/>
      <c r="D3" s="468"/>
      <c r="E3" s="467"/>
      <c r="G3" s="469"/>
      <c r="I3" s="469" t="s">
        <v>507</v>
      </c>
    </row>
    <row r="4" spans="1:11" s="21" customFormat="1" x14ac:dyDescent="0.25">
      <c r="A4" s="334" t="s">
        <v>1</v>
      </c>
      <c r="B4" s="24" t="s">
        <v>2</v>
      </c>
      <c r="C4" s="335" t="s">
        <v>3</v>
      </c>
      <c r="D4" s="336"/>
      <c r="E4" s="24" t="s">
        <v>336</v>
      </c>
      <c r="F4" s="24" t="s">
        <v>326</v>
      </c>
      <c r="G4" s="115" t="s">
        <v>320</v>
      </c>
      <c r="H4" s="115" t="s">
        <v>337</v>
      </c>
      <c r="I4" s="116" t="s">
        <v>337</v>
      </c>
    </row>
    <row r="5" spans="1:11" s="21" customFormat="1" x14ac:dyDescent="0.25">
      <c r="A5" s="338" t="s">
        <v>5</v>
      </c>
      <c r="B5" s="25" t="s">
        <v>6</v>
      </c>
      <c r="C5" s="339" t="s">
        <v>7</v>
      </c>
      <c r="D5" s="340" t="s">
        <v>8</v>
      </c>
      <c r="E5" s="25" t="s">
        <v>325</v>
      </c>
      <c r="F5" s="25" t="s">
        <v>327</v>
      </c>
      <c r="G5" s="117" t="s">
        <v>321</v>
      </c>
      <c r="H5" s="117" t="s">
        <v>323</v>
      </c>
      <c r="I5" s="118" t="s">
        <v>324</v>
      </c>
    </row>
    <row r="6" spans="1:11" s="21" customFormat="1" ht="15.75" thickBot="1" x14ac:dyDescent="0.3">
      <c r="A6" s="342" t="s">
        <v>9</v>
      </c>
      <c r="B6" s="26" t="s">
        <v>10</v>
      </c>
      <c r="C6" s="343"/>
      <c r="D6" s="344"/>
      <c r="E6" s="26" t="s">
        <v>292</v>
      </c>
      <c r="F6" s="906">
        <v>43646</v>
      </c>
      <c r="G6" s="157">
        <v>43646</v>
      </c>
      <c r="H6" s="119"/>
      <c r="I6" s="470"/>
    </row>
    <row r="7" spans="1:11" s="21" customFormat="1" ht="15.75" x14ac:dyDescent="0.25">
      <c r="A7" s="471" t="s">
        <v>11</v>
      </c>
      <c r="B7" s="472"/>
      <c r="C7" s="473"/>
      <c r="D7" s="474"/>
      <c r="E7" s="475"/>
      <c r="F7" s="476"/>
      <c r="G7" s="353"/>
      <c r="H7" s="353"/>
      <c r="I7" s="477"/>
    </row>
    <row r="8" spans="1:11" s="21" customFormat="1" ht="15.75" x14ac:dyDescent="0.25">
      <c r="A8" s="478" t="s">
        <v>162</v>
      </c>
      <c r="B8" s="479" t="s">
        <v>224</v>
      </c>
      <c r="C8" s="480"/>
      <c r="D8" s="481"/>
      <c r="E8" s="482">
        <f>SUM(E9:E15)</f>
        <v>11980</v>
      </c>
      <c r="F8" s="483">
        <f>SUM(F9:F15)</f>
        <v>14460</v>
      </c>
      <c r="G8" s="482">
        <f>G9+G10+G11+G12+G13+G14+G15</f>
        <v>5956</v>
      </c>
      <c r="H8" s="484">
        <f t="shared" ref="H8:H18" si="0">G8/E8*100</f>
        <v>49.716193656093488</v>
      </c>
      <c r="I8" s="485">
        <f t="shared" ref="I8:I18" si="1">G8/F8*100</f>
        <v>41.189488243430148</v>
      </c>
      <c r="K8" s="486"/>
    </row>
    <row r="9" spans="1:11" s="21" customFormat="1" ht="15.75" x14ac:dyDescent="0.25">
      <c r="A9" s="487"/>
      <c r="B9" s="488"/>
      <c r="C9" s="360" t="s">
        <v>23</v>
      </c>
      <c r="D9" s="489" t="s">
        <v>163</v>
      </c>
      <c r="E9" s="490">
        <v>2470</v>
      </c>
      <c r="F9" s="491">
        <f>352+1550+250+1018+50</f>
        <v>3220</v>
      </c>
      <c r="G9" s="422">
        <v>509</v>
      </c>
      <c r="H9" s="492">
        <f t="shared" si="0"/>
        <v>20.607287449392715</v>
      </c>
      <c r="I9" s="463">
        <f t="shared" si="1"/>
        <v>15.807453416149068</v>
      </c>
    </row>
    <row r="10" spans="1:11" s="21" customFormat="1" ht="15.75" x14ac:dyDescent="0.25">
      <c r="A10" s="487"/>
      <c r="B10" s="488"/>
      <c r="C10" s="360" t="s">
        <v>262</v>
      </c>
      <c r="D10" s="360" t="s">
        <v>163</v>
      </c>
      <c r="E10" s="493">
        <v>1350</v>
      </c>
      <c r="F10" s="494">
        <v>1350</v>
      </c>
      <c r="G10" s="422">
        <v>948</v>
      </c>
      <c r="H10" s="492">
        <f t="shared" si="0"/>
        <v>70.222222222222214</v>
      </c>
      <c r="I10" s="463">
        <f t="shared" si="1"/>
        <v>70.222222222222214</v>
      </c>
    </row>
    <row r="11" spans="1:11" s="21" customFormat="1" ht="15.75" x14ac:dyDescent="0.25">
      <c r="A11" s="495"/>
      <c r="B11" s="907"/>
      <c r="C11" s="496" t="s">
        <v>315</v>
      </c>
      <c r="D11" s="489" t="s">
        <v>163</v>
      </c>
      <c r="E11" s="497">
        <v>1200</v>
      </c>
      <c r="F11" s="498">
        <v>930</v>
      </c>
      <c r="G11" s="422">
        <v>0</v>
      </c>
      <c r="H11" s="492">
        <f t="shared" si="0"/>
        <v>0</v>
      </c>
      <c r="I11" s="463">
        <f t="shared" si="1"/>
        <v>0</v>
      </c>
    </row>
    <row r="12" spans="1:11" s="21" customFormat="1" ht="15.75" x14ac:dyDescent="0.25">
      <c r="A12" s="495"/>
      <c r="B12" s="908">
        <v>805</v>
      </c>
      <c r="C12" s="496" t="s">
        <v>257</v>
      </c>
      <c r="D12" s="489" t="s">
        <v>163</v>
      </c>
      <c r="E12" s="497">
        <v>1460</v>
      </c>
      <c r="F12" s="498">
        <v>1460</v>
      </c>
      <c r="G12" s="499">
        <v>605</v>
      </c>
      <c r="H12" s="492">
        <f t="shared" si="0"/>
        <v>41.438356164383563</v>
      </c>
      <c r="I12" s="463">
        <f t="shared" si="1"/>
        <v>41.438356164383563</v>
      </c>
    </row>
    <row r="13" spans="1:11" s="21" customFormat="1" ht="26.25" x14ac:dyDescent="0.25">
      <c r="A13" s="495"/>
      <c r="B13" s="908"/>
      <c r="C13" s="500" t="s">
        <v>308</v>
      </c>
      <c r="D13" s="489" t="s">
        <v>163</v>
      </c>
      <c r="E13" s="497">
        <v>1200</v>
      </c>
      <c r="F13" s="498">
        <v>1200</v>
      </c>
      <c r="G13" s="499">
        <v>968</v>
      </c>
      <c r="H13" s="492">
        <f t="shared" si="0"/>
        <v>80.666666666666657</v>
      </c>
      <c r="I13" s="463">
        <f t="shared" si="1"/>
        <v>80.666666666666657</v>
      </c>
    </row>
    <row r="14" spans="1:11" s="21" customFormat="1" ht="15.75" x14ac:dyDescent="0.25">
      <c r="A14" s="495"/>
      <c r="B14" s="908">
        <v>80112</v>
      </c>
      <c r="C14" s="496" t="s">
        <v>307</v>
      </c>
      <c r="D14" s="489" t="s">
        <v>163</v>
      </c>
      <c r="E14" s="497">
        <v>3600</v>
      </c>
      <c r="F14" s="498">
        <v>3600</v>
      </c>
      <c r="G14" s="499">
        <v>1361</v>
      </c>
      <c r="H14" s="492">
        <f t="shared" si="0"/>
        <v>37.80555555555555</v>
      </c>
      <c r="I14" s="463">
        <f t="shared" si="1"/>
        <v>37.80555555555555</v>
      </c>
    </row>
    <row r="15" spans="1:11" s="21" customFormat="1" ht="15.75" x14ac:dyDescent="0.25">
      <c r="A15" s="495"/>
      <c r="B15" s="908">
        <v>80112</v>
      </c>
      <c r="C15" s="496" t="s">
        <v>306</v>
      </c>
      <c r="D15" s="489" t="s">
        <v>163</v>
      </c>
      <c r="E15" s="497">
        <v>700</v>
      </c>
      <c r="F15" s="498">
        <v>2700</v>
      </c>
      <c r="G15" s="499">
        <v>1565</v>
      </c>
      <c r="H15" s="492">
        <f t="shared" si="0"/>
        <v>223.57142857142858</v>
      </c>
      <c r="I15" s="463">
        <f t="shared" si="1"/>
        <v>57.962962962962962</v>
      </c>
    </row>
    <row r="16" spans="1:11" s="21" customFormat="1" x14ac:dyDescent="0.25">
      <c r="A16" s="39" t="s">
        <v>225</v>
      </c>
      <c r="B16" s="1144" t="s">
        <v>220</v>
      </c>
      <c r="C16" s="1145"/>
      <c r="D16" s="501"/>
      <c r="E16" s="502">
        <f>E17</f>
        <v>450</v>
      </c>
      <c r="F16" s="503">
        <f>F17</f>
        <v>450</v>
      </c>
      <c r="G16" s="502">
        <f>G17</f>
        <v>306</v>
      </c>
      <c r="H16" s="484">
        <f t="shared" si="0"/>
        <v>68</v>
      </c>
      <c r="I16" s="485">
        <f t="shared" si="1"/>
        <v>68</v>
      </c>
    </row>
    <row r="17" spans="1:9" s="21" customFormat="1" ht="15.75" thickBot="1" x14ac:dyDescent="0.3">
      <c r="A17" s="504"/>
      <c r="B17" s="505"/>
      <c r="C17" s="506" t="s">
        <v>164</v>
      </c>
      <c r="D17" s="507" t="s">
        <v>165</v>
      </c>
      <c r="E17" s="490">
        <v>450</v>
      </c>
      <c r="F17" s="491">
        <v>450</v>
      </c>
      <c r="G17" s="508">
        <v>306</v>
      </c>
      <c r="H17" s="509">
        <f t="shared" si="0"/>
        <v>68</v>
      </c>
      <c r="I17" s="510">
        <f t="shared" si="1"/>
        <v>68</v>
      </c>
    </row>
    <row r="18" spans="1:9" s="445" customFormat="1" ht="16.5" thickBot="1" x14ac:dyDescent="0.3">
      <c r="A18" s="1146" t="s">
        <v>16</v>
      </c>
      <c r="B18" s="1147"/>
      <c r="C18" s="1148"/>
      <c r="D18" s="464"/>
      <c r="E18" s="511">
        <f>E16+E8</f>
        <v>12430</v>
      </c>
      <c r="F18" s="512">
        <f>F16+F8</f>
        <v>14910</v>
      </c>
      <c r="G18" s="511">
        <f>G16+G8</f>
        <v>6262</v>
      </c>
      <c r="H18" s="513">
        <f t="shared" si="0"/>
        <v>50.378117457763473</v>
      </c>
      <c r="I18" s="514">
        <f t="shared" si="1"/>
        <v>41.998658618376929</v>
      </c>
    </row>
    <row r="19" spans="1:9" s="21" customFormat="1" ht="15.75" x14ac:dyDescent="0.25">
      <c r="A19" s="214"/>
      <c r="B19" s="214"/>
      <c r="C19" s="214"/>
      <c r="D19" s="215"/>
      <c r="E19" s="216"/>
    </row>
    <row r="20" spans="1:9" s="518" customFormat="1" ht="12.75" x14ac:dyDescent="0.2">
      <c r="A20" s="515"/>
      <c r="B20" s="516"/>
      <c r="C20" s="516"/>
      <c r="D20" s="240"/>
      <c r="E20" s="517"/>
    </row>
    <row r="21" spans="1:9" s="21" customFormat="1" ht="15.75" thickBot="1" x14ac:dyDescent="0.3"/>
    <row r="22" spans="1:9" s="21" customFormat="1" x14ac:dyDescent="0.25">
      <c r="A22" s="334" t="s">
        <v>1</v>
      </c>
      <c r="B22" s="24" t="s">
        <v>2</v>
      </c>
      <c r="C22" s="335" t="s">
        <v>3</v>
      </c>
      <c r="D22" s="336"/>
      <c r="E22" s="24" t="s">
        <v>336</v>
      </c>
      <c r="F22" s="24" t="s">
        <v>326</v>
      </c>
      <c r="G22" s="115" t="s">
        <v>320</v>
      </c>
      <c r="H22" s="115" t="s">
        <v>337</v>
      </c>
      <c r="I22" s="116" t="s">
        <v>337</v>
      </c>
    </row>
    <row r="23" spans="1:9" s="21" customFormat="1" x14ac:dyDescent="0.25">
      <c r="A23" s="338" t="s">
        <v>5</v>
      </c>
      <c r="B23" s="25" t="s">
        <v>6</v>
      </c>
      <c r="C23" s="339" t="s">
        <v>7</v>
      </c>
      <c r="D23" s="340" t="s">
        <v>8</v>
      </c>
      <c r="E23" s="25" t="s">
        <v>325</v>
      </c>
      <c r="F23" s="25" t="s">
        <v>327</v>
      </c>
      <c r="G23" s="117" t="s">
        <v>321</v>
      </c>
      <c r="H23" s="117" t="s">
        <v>323</v>
      </c>
      <c r="I23" s="118" t="s">
        <v>324</v>
      </c>
    </row>
    <row r="24" spans="1:9" s="21" customFormat="1" ht="15.75" thickBot="1" x14ac:dyDescent="0.3">
      <c r="A24" s="342" t="s">
        <v>9</v>
      </c>
      <c r="B24" s="26" t="s">
        <v>10</v>
      </c>
      <c r="C24" s="343"/>
      <c r="D24" s="344"/>
      <c r="E24" s="26" t="s">
        <v>292</v>
      </c>
      <c r="F24" s="157">
        <v>43646</v>
      </c>
      <c r="G24" s="157">
        <v>43646</v>
      </c>
      <c r="H24" s="119"/>
      <c r="I24" s="470"/>
    </row>
    <row r="25" spans="1:9" s="21" customFormat="1" ht="17.25" customHeight="1" x14ac:dyDescent="0.25">
      <c r="A25" s="471" t="s">
        <v>338</v>
      </c>
      <c r="B25" s="472"/>
      <c r="C25" s="473"/>
      <c r="D25" s="474"/>
      <c r="E25" s="519"/>
      <c r="F25" s="520"/>
      <c r="G25" s="521"/>
      <c r="H25" s="353"/>
      <c r="I25" s="477"/>
    </row>
    <row r="26" spans="1:9" s="21" customFormat="1" x14ac:dyDescent="0.25">
      <c r="A26" s="522" t="s">
        <v>162</v>
      </c>
      <c r="B26" s="523" t="s">
        <v>224</v>
      </c>
      <c r="C26" s="524"/>
      <c r="D26" s="525"/>
      <c r="E26" s="526">
        <f>SUM(E27:E38)</f>
        <v>38797</v>
      </c>
      <c r="F26" s="527">
        <f>SUM(F27:F38)</f>
        <v>112718.2</v>
      </c>
      <c r="G26" s="526">
        <f>SUM(G27:G38)</f>
        <v>12950.393</v>
      </c>
      <c r="H26" s="528">
        <f t="shared" ref="H26:H28" si="2">G26/E26*100</f>
        <v>33.379882465139055</v>
      </c>
      <c r="I26" s="277">
        <f t="shared" ref="I26:I28" si="3">G26/F26*100</f>
        <v>11.489176548241545</v>
      </c>
    </row>
    <row r="27" spans="1:9" s="21" customFormat="1" ht="15" customHeight="1" x14ac:dyDescent="0.25">
      <c r="A27" s="529"/>
      <c r="B27" s="530"/>
      <c r="C27" s="531" t="s">
        <v>408</v>
      </c>
      <c r="D27" s="532" t="s">
        <v>431</v>
      </c>
      <c r="E27" s="313">
        <v>6000</v>
      </c>
      <c r="F27" s="314">
        <v>80221.2</v>
      </c>
      <c r="G27" s="386">
        <v>8409</v>
      </c>
      <c r="H27" s="533">
        <f t="shared" si="2"/>
        <v>140.15</v>
      </c>
      <c r="I27" s="301">
        <f t="shared" si="3"/>
        <v>10.482266533036155</v>
      </c>
    </row>
    <row r="28" spans="1:9" s="21" customFormat="1" ht="30" customHeight="1" x14ac:dyDescent="0.25">
      <c r="A28" s="529"/>
      <c r="B28" s="530"/>
      <c r="C28" s="531" t="s">
        <v>409</v>
      </c>
      <c r="D28" s="532" t="s">
        <v>431</v>
      </c>
      <c r="E28" s="297">
        <v>85</v>
      </c>
      <c r="F28" s="298">
        <v>85</v>
      </c>
      <c r="G28" s="386">
        <v>0</v>
      </c>
      <c r="H28" s="250">
        <f t="shared" si="2"/>
        <v>0</v>
      </c>
      <c r="I28" s="301">
        <f t="shared" si="3"/>
        <v>0</v>
      </c>
    </row>
    <row r="29" spans="1:9" s="21" customFormat="1" ht="15" customHeight="1" x14ac:dyDescent="0.25">
      <c r="A29" s="318"/>
      <c r="B29" s="319"/>
      <c r="C29" s="531" t="s">
        <v>410</v>
      </c>
      <c r="D29" s="532" t="s">
        <v>430</v>
      </c>
      <c r="E29" s="313">
        <v>10000</v>
      </c>
      <c r="F29" s="314">
        <v>12000</v>
      </c>
      <c r="G29" s="386">
        <v>1333</v>
      </c>
      <c r="H29" s="533">
        <f t="shared" ref="H29:H39" si="4">G29/E29*100</f>
        <v>13.33</v>
      </c>
      <c r="I29" s="301">
        <f t="shared" ref="I29:I39" si="5">G29/F29*100</f>
        <v>11.108333333333334</v>
      </c>
    </row>
    <row r="30" spans="1:9" s="21" customFormat="1" ht="15" customHeight="1" x14ac:dyDescent="0.25">
      <c r="A30" s="318"/>
      <c r="B30" s="319"/>
      <c r="C30" s="531" t="s">
        <v>411</v>
      </c>
      <c r="D30" s="532" t="s">
        <v>430</v>
      </c>
      <c r="E30" s="313">
        <v>182</v>
      </c>
      <c r="F30" s="314">
        <v>182</v>
      </c>
      <c r="G30" s="386">
        <v>0</v>
      </c>
      <c r="H30" s="533">
        <f t="shared" si="4"/>
        <v>0</v>
      </c>
      <c r="I30" s="301">
        <f t="shared" si="5"/>
        <v>0</v>
      </c>
    </row>
    <row r="31" spans="1:9" s="21" customFormat="1" ht="15" customHeight="1" x14ac:dyDescent="0.25">
      <c r="A31" s="318"/>
      <c r="B31" s="319"/>
      <c r="C31" s="531" t="s">
        <v>423</v>
      </c>
      <c r="D31" s="532" t="s">
        <v>431</v>
      </c>
      <c r="E31" s="313">
        <v>6134</v>
      </c>
      <c r="F31" s="314">
        <v>2375.5</v>
      </c>
      <c r="G31" s="386">
        <v>0</v>
      </c>
      <c r="H31" s="533">
        <f t="shared" si="4"/>
        <v>0</v>
      </c>
      <c r="I31" s="301">
        <f t="shared" si="5"/>
        <v>0</v>
      </c>
    </row>
    <row r="32" spans="1:9" s="21" customFormat="1" ht="15" customHeight="1" x14ac:dyDescent="0.25">
      <c r="A32" s="318"/>
      <c r="B32" s="319"/>
      <c r="C32" s="531" t="s">
        <v>528</v>
      </c>
      <c r="D32" s="532" t="s">
        <v>431</v>
      </c>
      <c r="E32" s="313">
        <v>3450</v>
      </c>
      <c r="F32" s="314">
        <v>3450</v>
      </c>
      <c r="G32" s="386">
        <v>0</v>
      </c>
      <c r="H32" s="533">
        <f t="shared" si="4"/>
        <v>0</v>
      </c>
      <c r="I32" s="301">
        <f t="shared" si="5"/>
        <v>0</v>
      </c>
    </row>
    <row r="33" spans="1:9" s="21" customFormat="1" ht="15" customHeight="1" x14ac:dyDescent="0.25">
      <c r="A33" s="318"/>
      <c r="B33" s="319"/>
      <c r="C33" s="531" t="s">
        <v>529</v>
      </c>
      <c r="D33" s="532" t="s">
        <v>430</v>
      </c>
      <c r="E33" s="313">
        <v>3100</v>
      </c>
      <c r="F33" s="314">
        <v>3100</v>
      </c>
      <c r="G33" s="386">
        <v>2058.393</v>
      </c>
      <c r="H33" s="533">
        <f t="shared" si="4"/>
        <v>66.399774193548382</v>
      </c>
      <c r="I33" s="301">
        <f t="shared" si="5"/>
        <v>66.399774193548382</v>
      </c>
    </row>
    <row r="34" spans="1:9" s="21" customFormat="1" ht="15" customHeight="1" x14ac:dyDescent="0.25">
      <c r="A34" s="318"/>
      <c r="B34" s="319"/>
      <c r="C34" s="531" t="s">
        <v>530</v>
      </c>
      <c r="D34" s="532" t="s">
        <v>430</v>
      </c>
      <c r="E34" s="313">
        <v>2201</v>
      </c>
      <c r="F34" s="314">
        <v>2201</v>
      </c>
      <c r="G34" s="386">
        <v>0</v>
      </c>
      <c r="H34" s="533">
        <f t="shared" si="4"/>
        <v>0</v>
      </c>
      <c r="I34" s="301">
        <f t="shared" si="5"/>
        <v>0</v>
      </c>
    </row>
    <row r="35" spans="1:9" s="21" customFormat="1" ht="15" customHeight="1" x14ac:dyDescent="0.25">
      <c r="A35" s="318"/>
      <c r="B35" s="319"/>
      <c r="C35" s="531" t="s">
        <v>531</v>
      </c>
      <c r="D35" s="532" t="s">
        <v>430</v>
      </c>
      <c r="E35" s="313">
        <v>2145</v>
      </c>
      <c r="F35" s="314">
        <v>2145</v>
      </c>
      <c r="G35" s="386">
        <v>0</v>
      </c>
      <c r="H35" s="533">
        <f t="shared" si="4"/>
        <v>0</v>
      </c>
      <c r="I35" s="301">
        <f t="shared" si="5"/>
        <v>0</v>
      </c>
    </row>
    <row r="36" spans="1:9" s="21" customFormat="1" ht="15" customHeight="1" x14ac:dyDescent="0.25">
      <c r="A36" s="318"/>
      <c r="B36" s="319"/>
      <c r="C36" s="531" t="s">
        <v>424</v>
      </c>
      <c r="D36" s="532" t="s">
        <v>431</v>
      </c>
      <c r="E36" s="313">
        <v>5500</v>
      </c>
      <c r="F36" s="314">
        <v>5500</v>
      </c>
      <c r="G36" s="386">
        <v>0</v>
      </c>
      <c r="H36" s="533">
        <f t="shared" si="4"/>
        <v>0</v>
      </c>
      <c r="I36" s="301">
        <f t="shared" si="5"/>
        <v>0</v>
      </c>
    </row>
    <row r="37" spans="1:9" s="21" customFormat="1" ht="15" customHeight="1" x14ac:dyDescent="0.25">
      <c r="A37" s="318"/>
      <c r="B37" s="319"/>
      <c r="C37" s="531" t="s">
        <v>492</v>
      </c>
      <c r="D37" s="532" t="s">
        <v>493</v>
      </c>
      <c r="E37" s="313">
        <v>0</v>
      </c>
      <c r="F37" s="314">
        <v>1200</v>
      </c>
      <c r="G37" s="386">
        <v>1150</v>
      </c>
      <c r="H37" s="533">
        <v>0</v>
      </c>
      <c r="I37" s="301">
        <f t="shared" si="5"/>
        <v>95.833333333333343</v>
      </c>
    </row>
    <row r="38" spans="1:9" s="21" customFormat="1" ht="15" customHeight="1" thickBot="1" x14ac:dyDescent="0.3">
      <c r="A38" s="318"/>
      <c r="B38" s="319"/>
      <c r="C38" s="531" t="s">
        <v>494</v>
      </c>
      <c r="D38" s="532" t="s">
        <v>493</v>
      </c>
      <c r="E38" s="313">
        <v>0</v>
      </c>
      <c r="F38" s="314">
        <v>258.5</v>
      </c>
      <c r="G38" s="386">
        <v>0</v>
      </c>
      <c r="H38" s="533">
        <v>0</v>
      </c>
      <c r="I38" s="301">
        <f t="shared" si="5"/>
        <v>0</v>
      </c>
    </row>
    <row r="39" spans="1:9" s="445" customFormat="1" ht="16.5" customHeight="1" thickBot="1" x14ac:dyDescent="0.3">
      <c r="A39" s="1146" t="s">
        <v>416</v>
      </c>
      <c r="B39" s="1147"/>
      <c r="C39" s="1148"/>
      <c r="D39" s="464"/>
      <c r="E39" s="511">
        <f>E26</f>
        <v>38797</v>
      </c>
      <c r="F39" s="512">
        <f t="shared" ref="F39:G39" si="6">F26</f>
        <v>112718.2</v>
      </c>
      <c r="G39" s="511">
        <f t="shared" si="6"/>
        <v>12950.393</v>
      </c>
      <c r="H39" s="513">
        <f t="shared" si="4"/>
        <v>33.379882465139055</v>
      </c>
      <c r="I39" s="514">
        <f t="shared" si="5"/>
        <v>11.489176548241545</v>
      </c>
    </row>
    <row r="40" spans="1:9" s="21" customFormat="1" ht="15.75" thickBot="1" x14ac:dyDescent="0.3">
      <c r="F40" s="100"/>
    </row>
    <row r="41" spans="1:9" s="445" customFormat="1" ht="16.5" thickBot="1" x14ac:dyDescent="0.3">
      <c r="A41" s="1146" t="s">
        <v>422</v>
      </c>
      <c r="B41" s="1147"/>
      <c r="C41" s="1148"/>
      <c r="D41" s="464"/>
      <c r="E41" s="511">
        <f>E18+E39</f>
        <v>51227</v>
      </c>
      <c r="F41" s="512">
        <f t="shared" ref="F41:G41" si="7">F18+F39</f>
        <v>127628.2</v>
      </c>
      <c r="G41" s="511">
        <f t="shared" si="7"/>
        <v>19212.393</v>
      </c>
      <c r="H41" s="513">
        <f t="shared" ref="H41" si="8">G41/E41*100</f>
        <v>37.504427352763194</v>
      </c>
      <c r="I41" s="514">
        <f t="shared" ref="I41" si="9">G41/F41*100</f>
        <v>15.053407475777297</v>
      </c>
    </row>
    <row r="42" spans="1:9" s="21" customFormat="1" x14ac:dyDescent="0.25"/>
    <row r="43" spans="1:9" s="21" customFormat="1" x14ac:dyDescent="0.25"/>
    <row r="44" spans="1:9" s="21" customFormat="1" x14ac:dyDescent="0.25">
      <c r="F44" s="21" t="s">
        <v>114</v>
      </c>
    </row>
    <row r="45" spans="1:9" s="21" customFormat="1" x14ac:dyDescent="0.25"/>
    <row r="46" spans="1:9" s="21" customFormat="1" x14ac:dyDescent="0.25"/>
    <row r="47" spans="1:9" s="21" customFormat="1" x14ac:dyDescent="0.25"/>
    <row r="48" spans="1:9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</sheetData>
  <mergeCells count="5">
    <mergeCell ref="A2:D2"/>
    <mergeCell ref="B16:C16"/>
    <mergeCell ref="A18:C18"/>
    <mergeCell ref="A39:C39"/>
    <mergeCell ref="A41:C41"/>
  </mergeCells>
  <printOptions horizontalCentered="1"/>
  <pageMargins left="0.43307086614173229" right="0" top="0.11811023622047245" bottom="0" header="0" footer="0"/>
  <pageSetup paperSize="9"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5878-D542-4F35-96C3-D4C49A3524FF}">
  <sheetPr>
    <pageSetUpPr fitToPage="1"/>
  </sheetPr>
  <dimension ref="A2:J132"/>
  <sheetViews>
    <sheetView topLeftCell="A34" zoomScaleNormal="100" workbookViewId="0">
      <selection activeCell="M121" sqref="M121"/>
    </sheetView>
  </sheetViews>
  <sheetFormatPr defaultRowHeight="15" x14ac:dyDescent="0.25"/>
  <cols>
    <col min="1" max="2" width="11.28515625" customWidth="1"/>
    <col min="3" max="3" width="45.140625" customWidth="1"/>
    <col min="4" max="4" width="49.42578125" customWidth="1"/>
    <col min="5" max="5" width="14.5703125" customWidth="1"/>
    <col min="6" max="6" width="15.28515625" customWidth="1"/>
    <col min="7" max="7" width="15" customWidth="1"/>
    <col min="8" max="9" width="10.7109375" customWidth="1"/>
  </cols>
  <sheetData>
    <row r="2" spans="1:9" ht="15.75" x14ac:dyDescent="0.25">
      <c r="A2" s="965" t="s">
        <v>166</v>
      </c>
      <c r="B2" s="965"/>
      <c r="C2" s="965"/>
      <c r="D2" s="965"/>
      <c r="E2" s="21"/>
      <c r="F2" s="21"/>
      <c r="G2" s="21"/>
      <c r="H2" s="21"/>
      <c r="I2" s="21"/>
    </row>
    <row r="3" spans="1:9" ht="18" customHeight="1" thickBot="1" x14ac:dyDescent="0.3">
      <c r="A3" s="964"/>
      <c r="E3" s="21"/>
      <c r="F3" s="21"/>
      <c r="G3" s="333"/>
      <c r="H3" s="21"/>
      <c r="I3" s="333" t="s">
        <v>506</v>
      </c>
    </row>
    <row r="4" spans="1:9" x14ac:dyDescent="0.25">
      <c r="A4" s="9" t="s">
        <v>1</v>
      </c>
      <c r="B4" s="10" t="s">
        <v>2</v>
      </c>
      <c r="C4" s="11" t="s">
        <v>3</v>
      </c>
      <c r="D4" s="12"/>
      <c r="E4" s="24" t="s">
        <v>336</v>
      </c>
      <c r="F4" s="24" t="s">
        <v>326</v>
      </c>
      <c r="G4" s="115" t="s">
        <v>320</v>
      </c>
      <c r="H4" s="115" t="s">
        <v>337</v>
      </c>
      <c r="I4" s="116" t="s">
        <v>337</v>
      </c>
    </row>
    <row r="5" spans="1:9" x14ac:dyDescent="0.25">
      <c r="A5" s="13" t="s">
        <v>5</v>
      </c>
      <c r="B5" s="14" t="s">
        <v>6</v>
      </c>
      <c r="C5" s="15" t="s">
        <v>7</v>
      </c>
      <c r="D5" s="16" t="s">
        <v>8</v>
      </c>
      <c r="E5" s="25" t="s">
        <v>325</v>
      </c>
      <c r="F5" s="25" t="s">
        <v>327</v>
      </c>
      <c r="G5" s="117" t="s">
        <v>321</v>
      </c>
      <c r="H5" s="117" t="s">
        <v>323</v>
      </c>
      <c r="I5" s="118" t="s">
        <v>324</v>
      </c>
    </row>
    <row r="6" spans="1:9" ht="15" customHeight="1" thickBot="1" x14ac:dyDescent="0.3">
      <c r="A6" s="17" t="s">
        <v>9</v>
      </c>
      <c r="B6" s="20" t="s">
        <v>10</v>
      </c>
      <c r="C6" s="18"/>
      <c r="D6" s="19"/>
      <c r="E6" s="26" t="s">
        <v>292</v>
      </c>
      <c r="F6" s="157">
        <v>43646</v>
      </c>
      <c r="G6" s="157">
        <v>43646</v>
      </c>
      <c r="H6" s="119"/>
      <c r="I6" s="470"/>
    </row>
    <row r="7" spans="1:9" ht="12.75" customHeight="1" x14ac:dyDescent="0.25">
      <c r="A7" s="921" t="s">
        <v>11</v>
      </c>
      <c r="B7" s="963"/>
      <c r="C7" s="23"/>
      <c r="D7" s="962"/>
      <c r="E7" s="998"/>
      <c r="F7" s="999"/>
      <c r="G7" s="353"/>
      <c r="H7" s="1000"/>
      <c r="I7" s="1001"/>
    </row>
    <row r="8" spans="1:9" ht="12.75" customHeight="1" x14ac:dyDescent="0.25">
      <c r="A8" s="70" t="s">
        <v>167</v>
      </c>
      <c r="B8" s="1152" t="s">
        <v>168</v>
      </c>
      <c r="C8" s="1153"/>
      <c r="D8" s="73"/>
      <c r="E8" s="957">
        <f>E9+E26</f>
        <v>254198</v>
      </c>
      <c r="F8" s="958">
        <f>F9+F26+F36</f>
        <v>265730.60000000003</v>
      </c>
      <c r="G8" s="957">
        <f>G9+G26+G36</f>
        <v>96246.25</v>
      </c>
      <c r="H8" s="484">
        <f t="shared" ref="H8:H18" si="0">G8/E8*100</f>
        <v>37.862709384023482</v>
      </c>
      <c r="I8" s="485">
        <f t="shared" ref="I8:I18" si="1">G8/F8*100</f>
        <v>36.219483190870747</v>
      </c>
    </row>
    <row r="9" spans="1:9" ht="12.75" customHeight="1" x14ac:dyDescent="0.25">
      <c r="A9" s="937"/>
      <c r="B9" s="955"/>
      <c r="C9" s="27"/>
      <c r="D9" s="959" t="s">
        <v>169</v>
      </c>
      <c r="E9" s="957">
        <f>SUM(E10:E24)</f>
        <v>234016</v>
      </c>
      <c r="F9" s="958">
        <f>SUM(F10:F24)+F25</f>
        <v>242496.7</v>
      </c>
      <c r="G9" s="957">
        <f>SUM(G10:G25)</f>
        <v>87396</v>
      </c>
      <c r="H9" s="484">
        <f t="shared" si="0"/>
        <v>37.346164364829754</v>
      </c>
      <c r="I9" s="485">
        <f t="shared" si="1"/>
        <v>36.040078071165503</v>
      </c>
    </row>
    <row r="10" spans="1:9" ht="12.75" customHeight="1" x14ac:dyDescent="0.25">
      <c r="A10" s="937"/>
      <c r="B10" s="961"/>
      <c r="C10" s="942"/>
      <c r="D10" s="59" t="s">
        <v>170</v>
      </c>
      <c r="E10" s="966">
        <v>157000</v>
      </c>
      <c r="F10" s="967">
        <v>162160</v>
      </c>
      <c r="G10" s="966">
        <v>59684</v>
      </c>
      <c r="H10" s="492">
        <f t="shared" si="0"/>
        <v>38.015286624203817</v>
      </c>
      <c r="I10" s="463">
        <f t="shared" si="1"/>
        <v>36.805624074987662</v>
      </c>
    </row>
    <row r="11" spans="1:9" ht="12.75" customHeight="1" x14ac:dyDescent="0.25">
      <c r="A11" s="937"/>
      <c r="B11" s="961"/>
      <c r="C11" s="942"/>
      <c r="D11" s="59" t="s">
        <v>171</v>
      </c>
      <c r="E11" s="966">
        <v>11000</v>
      </c>
      <c r="F11" s="967">
        <v>10960</v>
      </c>
      <c r="G11" s="966">
        <v>3072</v>
      </c>
      <c r="H11" s="492">
        <f t="shared" si="0"/>
        <v>27.927272727272729</v>
      </c>
      <c r="I11" s="463">
        <f t="shared" si="1"/>
        <v>28.029197080291972</v>
      </c>
    </row>
    <row r="12" spans="1:9" ht="12.75" customHeight="1" x14ac:dyDescent="0.25">
      <c r="A12" s="937"/>
      <c r="B12" s="956" t="s">
        <v>234</v>
      </c>
      <c r="C12" s="942" t="s">
        <v>172</v>
      </c>
      <c r="D12" s="59" t="s">
        <v>173</v>
      </c>
      <c r="E12" s="966">
        <v>320</v>
      </c>
      <c r="F12" s="967">
        <v>320</v>
      </c>
      <c r="G12" s="966">
        <v>53</v>
      </c>
      <c r="H12" s="492">
        <f t="shared" si="0"/>
        <v>16.5625</v>
      </c>
      <c r="I12" s="463">
        <f t="shared" si="1"/>
        <v>16.5625</v>
      </c>
    </row>
    <row r="13" spans="1:9" ht="12.75" customHeight="1" x14ac:dyDescent="0.25">
      <c r="A13" s="937"/>
      <c r="B13" s="961"/>
      <c r="C13" s="942"/>
      <c r="D13" s="59" t="s">
        <v>174</v>
      </c>
      <c r="E13" s="966">
        <v>3000</v>
      </c>
      <c r="F13" s="967">
        <v>4000</v>
      </c>
      <c r="G13" s="966">
        <v>517</v>
      </c>
      <c r="H13" s="492">
        <f t="shared" si="0"/>
        <v>17.233333333333334</v>
      </c>
      <c r="I13" s="463">
        <f t="shared" si="1"/>
        <v>12.925000000000001</v>
      </c>
    </row>
    <row r="14" spans="1:9" ht="12.75" customHeight="1" x14ac:dyDescent="0.25">
      <c r="A14" s="937"/>
      <c r="B14" s="961"/>
      <c r="C14" s="942"/>
      <c r="D14" s="59" t="s">
        <v>175</v>
      </c>
      <c r="E14" s="966">
        <v>40400</v>
      </c>
      <c r="F14" s="967">
        <v>41680</v>
      </c>
      <c r="G14" s="966">
        <v>15532</v>
      </c>
      <c r="H14" s="492">
        <f t="shared" si="0"/>
        <v>38.445544554455445</v>
      </c>
      <c r="I14" s="463">
        <f t="shared" si="1"/>
        <v>37.264875239923221</v>
      </c>
    </row>
    <row r="15" spans="1:9" ht="12.75" customHeight="1" x14ac:dyDescent="0.25">
      <c r="A15" s="937"/>
      <c r="B15" s="961"/>
      <c r="C15" s="942"/>
      <c r="D15" s="59" t="s">
        <v>176</v>
      </c>
      <c r="E15" s="966">
        <v>600</v>
      </c>
      <c r="F15" s="967">
        <v>710.7</v>
      </c>
      <c r="G15" s="966">
        <v>313</v>
      </c>
      <c r="H15" s="492">
        <f t="shared" si="0"/>
        <v>52.166666666666664</v>
      </c>
      <c r="I15" s="463">
        <f t="shared" si="1"/>
        <v>44.041086252990006</v>
      </c>
    </row>
    <row r="16" spans="1:9" ht="12.75" customHeight="1" x14ac:dyDescent="0.25">
      <c r="A16" s="937"/>
      <c r="B16" s="961"/>
      <c r="C16" s="942"/>
      <c r="D16" s="59" t="s">
        <v>177</v>
      </c>
      <c r="E16" s="966">
        <v>14171</v>
      </c>
      <c r="F16" s="967">
        <v>14638</v>
      </c>
      <c r="G16" s="966">
        <v>5591</v>
      </c>
      <c r="H16" s="492">
        <f t="shared" si="0"/>
        <v>39.453814127443373</v>
      </c>
      <c r="I16" s="463">
        <f t="shared" si="1"/>
        <v>38.195108621396365</v>
      </c>
    </row>
    <row r="17" spans="1:10" ht="12.75" customHeight="1" x14ac:dyDescent="0.25">
      <c r="A17" s="937"/>
      <c r="B17" s="961"/>
      <c r="C17" s="942"/>
      <c r="D17" s="59" t="s">
        <v>178</v>
      </c>
      <c r="E17" s="966">
        <v>740</v>
      </c>
      <c r="F17" s="967">
        <v>740</v>
      </c>
      <c r="G17" s="966">
        <v>345</v>
      </c>
      <c r="H17" s="492">
        <f t="shared" si="0"/>
        <v>46.621621621621621</v>
      </c>
      <c r="I17" s="463">
        <f t="shared" si="1"/>
        <v>46.621621621621621</v>
      </c>
    </row>
    <row r="18" spans="1:10" s="21" customFormat="1" ht="12.75" customHeight="1" x14ac:dyDescent="0.25">
      <c r="A18" s="937"/>
      <c r="B18" s="961"/>
      <c r="C18" s="942"/>
      <c r="D18" s="59" t="s">
        <v>118</v>
      </c>
      <c r="E18" s="966">
        <v>3000</v>
      </c>
      <c r="F18" s="967">
        <v>3450</v>
      </c>
      <c r="G18" s="966">
        <v>901</v>
      </c>
      <c r="H18" s="492">
        <f t="shared" si="0"/>
        <v>30.033333333333335</v>
      </c>
      <c r="I18" s="463">
        <f t="shared" si="1"/>
        <v>26.115942028985508</v>
      </c>
    </row>
    <row r="19" spans="1:10" ht="12.75" customHeight="1" x14ac:dyDescent="0.25">
      <c r="A19" s="1154"/>
      <c r="B19" s="1156"/>
      <c r="C19" s="1158"/>
      <c r="D19" s="62" t="s">
        <v>211</v>
      </c>
      <c r="E19" s="1166">
        <v>400</v>
      </c>
      <c r="F19" s="1162">
        <v>365</v>
      </c>
      <c r="G19" s="974"/>
      <c r="H19" s="1160">
        <f>G20/E19*100</f>
        <v>91.25</v>
      </c>
      <c r="I19" s="1112">
        <f>G20/F19*100</f>
        <v>100</v>
      </c>
      <c r="J19" s="21"/>
    </row>
    <row r="20" spans="1:10" ht="12.75" customHeight="1" x14ac:dyDescent="0.25">
      <c r="A20" s="1155"/>
      <c r="B20" s="1157"/>
      <c r="C20" s="1159"/>
      <c r="D20" s="63" t="s">
        <v>212</v>
      </c>
      <c r="E20" s="1167"/>
      <c r="F20" s="1163"/>
      <c r="G20" s="975">
        <v>365</v>
      </c>
      <c r="H20" s="1161"/>
      <c r="I20" s="1113"/>
    </row>
    <row r="21" spans="1:10" ht="12.75" customHeight="1" x14ac:dyDescent="0.25">
      <c r="A21" s="937"/>
      <c r="B21" s="961"/>
      <c r="C21" s="942" t="s">
        <v>172</v>
      </c>
      <c r="D21" s="59" t="s">
        <v>278</v>
      </c>
      <c r="E21" s="966">
        <v>100</v>
      </c>
      <c r="F21" s="967">
        <v>100</v>
      </c>
      <c r="G21" s="975">
        <v>0</v>
      </c>
      <c r="H21" s="492">
        <f>G21/E21*100</f>
        <v>0</v>
      </c>
      <c r="I21" s="463">
        <f t="shared" ref="I21:I33" si="2">G21/F21*100</f>
        <v>0</v>
      </c>
    </row>
    <row r="22" spans="1:10" ht="12.75" customHeight="1" x14ac:dyDescent="0.25">
      <c r="A22" s="937"/>
      <c r="B22" s="961"/>
      <c r="C22" s="942"/>
      <c r="D22" s="59" t="s">
        <v>179</v>
      </c>
      <c r="E22" s="966">
        <v>100</v>
      </c>
      <c r="F22" s="967">
        <v>100</v>
      </c>
      <c r="G22" s="975">
        <v>0</v>
      </c>
      <c r="H22" s="492">
        <f>G22/E22*100</f>
        <v>0</v>
      </c>
      <c r="I22" s="463">
        <f t="shared" si="2"/>
        <v>0</v>
      </c>
    </row>
    <row r="23" spans="1:10" ht="12.75" customHeight="1" x14ac:dyDescent="0.25">
      <c r="A23" s="937"/>
      <c r="B23" s="961"/>
      <c r="C23" s="942" t="s">
        <v>172</v>
      </c>
      <c r="D23" s="59" t="s">
        <v>180</v>
      </c>
      <c r="E23" s="966">
        <v>2485</v>
      </c>
      <c r="F23" s="967">
        <v>2485</v>
      </c>
      <c r="G23" s="975">
        <v>935</v>
      </c>
      <c r="H23" s="492">
        <f>G23/E23*100</f>
        <v>37.625754527162982</v>
      </c>
      <c r="I23" s="463">
        <f t="shared" si="2"/>
        <v>37.625754527162982</v>
      </c>
    </row>
    <row r="24" spans="1:10" s="21" customFormat="1" ht="12.75" customHeight="1" x14ac:dyDescent="0.25">
      <c r="A24" s="937"/>
      <c r="B24" s="961"/>
      <c r="C24" s="960" t="s">
        <v>23</v>
      </c>
      <c r="D24" s="64" t="s">
        <v>120</v>
      </c>
      <c r="E24" s="273">
        <v>700</v>
      </c>
      <c r="F24" s="968">
        <v>700</v>
      </c>
      <c r="G24" s="975">
        <v>0</v>
      </c>
      <c r="H24" s="492">
        <f>G24/E24*100</f>
        <v>0</v>
      </c>
      <c r="I24" s="463">
        <f t="shared" si="2"/>
        <v>0</v>
      </c>
    </row>
    <row r="25" spans="1:10" s="21" customFormat="1" ht="12.75" customHeight="1" x14ac:dyDescent="0.25">
      <c r="A25" s="937"/>
      <c r="B25" s="961"/>
      <c r="C25" s="960" t="s">
        <v>499</v>
      </c>
      <c r="D25" s="64" t="s">
        <v>500</v>
      </c>
      <c r="E25" s="273">
        <v>0</v>
      </c>
      <c r="F25" s="968">
        <v>88</v>
      </c>
      <c r="G25" s="975">
        <v>88</v>
      </c>
      <c r="H25" s="492">
        <v>0</v>
      </c>
      <c r="I25" s="463">
        <f t="shared" si="2"/>
        <v>100</v>
      </c>
    </row>
    <row r="26" spans="1:10" ht="12.75" customHeight="1" x14ac:dyDescent="0.25">
      <c r="A26" s="937"/>
      <c r="B26" s="955"/>
      <c r="C26" s="27"/>
      <c r="D26" s="959" t="s">
        <v>181</v>
      </c>
      <c r="E26" s="957">
        <f>SUM(E27:E33)</f>
        <v>20182</v>
      </c>
      <c r="F26" s="958">
        <f>SUM(F27:F33)</f>
        <v>20217</v>
      </c>
      <c r="G26" s="957">
        <f>SUM(G27:G33)</f>
        <v>8118.25</v>
      </c>
      <c r="H26" s="484">
        <f>G26/E26*100</f>
        <v>40.225200673867803</v>
      </c>
      <c r="I26" s="485">
        <f t="shared" si="2"/>
        <v>40.155562150665283</v>
      </c>
    </row>
    <row r="27" spans="1:10" ht="12.75" customHeight="1" x14ac:dyDescent="0.25">
      <c r="A27" s="937"/>
      <c r="B27" s="955"/>
      <c r="C27" s="935"/>
      <c r="D27" s="59" t="s">
        <v>182</v>
      </c>
      <c r="E27" s="966">
        <v>15900</v>
      </c>
      <c r="F27" s="967">
        <v>15900</v>
      </c>
      <c r="G27" s="966">
        <v>6505</v>
      </c>
      <c r="H27" s="492">
        <f>G27/E27*100</f>
        <v>40.911949685534594</v>
      </c>
      <c r="I27" s="463">
        <f t="shared" si="2"/>
        <v>40.911949685534594</v>
      </c>
    </row>
    <row r="28" spans="1:10" ht="12.75" customHeight="1" x14ac:dyDescent="0.25">
      <c r="A28" s="937"/>
      <c r="B28" s="955"/>
      <c r="C28" s="935"/>
      <c r="D28" s="59" t="s">
        <v>175</v>
      </c>
      <c r="E28" s="966">
        <v>2740</v>
      </c>
      <c r="F28" s="967">
        <v>2740</v>
      </c>
      <c r="G28" s="966">
        <v>1057</v>
      </c>
      <c r="H28" s="492">
        <f>G28/E28*100</f>
        <v>38.576642335766422</v>
      </c>
      <c r="I28" s="463">
        <f t="shared" si="2"/>
        <v>38.576642335766422</v>
      </c>
    </row>
    <row r="29" spans="1:10" ht="12.75" customHeight="1" x14ac:dyDescent="0.25">
      <c r="A29" s="937"/>
      <c r="B29" s="955"/>
      <c r="C29" s="935"/>
      <c r="D29" s="59" t="s">
        <v>176</v>
      </c>
      <c r="E29" s="966">
        <v>15</v>
      </c>
      <c r="F29" s="967">
        <v>15</v>
      </c>
      <c r="G29" s="966">
        <v>17</v>
      </c>
      <c r="H29" s="492">
        <f>G29/E29*100</f>
        <v>113.33333333333333</v>
      </c>
      <c r="I29" s="463">
        <f t="shared" si="2"/>
        <v>113.33333333333333</v>
      </c>
    </row>
    <row r="30" spans="1:10" ht="12.75" customHeight="1" x14ac:dyDescent="0.25">
      <c r="A30" s="937"/>
      <c r="B30" s="955"/>
      <c r="C30" s="935"/>
      <c r="D30" s="59" t="s">
        <v>177</v>
      </c>
      <c r="E30" s="966">
        <v>1363</v>
      </c>
      <c r="F30" s="967">
        <v>1363</v>
      </c>
      <c r="G30" s="966">
        <v>530</v>
      </c>
      <c r="H30" s="492">
        <f>G30/E30*100</f>
        <v>38.884812912692588</v>
      </c>
      <c r="I30" s="463">
        <f t="shared" si="2"/>
        <v>38.884812912692588</v>
      </c>
    </row>
    <row r="31" spans="1:10" ht="12.75" customHeight="1" x14ac:dyDescent="0.25">
      <c r="A31" s="937"/>
      <c r="B31" s="955"/>
      <c r="C31" s="935"/>
      <c r="D31" s="59" t="s">
        <v>495</v>
      </c>
      <c r="E31" s="966">
        <v>0</v>
      </c>
      <c r="F31" s="967">
        <v>35</v>
      </c>
      <c r="G31" s="966">
        <v>2.25</v>
      </c>
      <c r="H31" s="492">
        <v>0</v>
      </c>
      <c r="I31" s="463">
        <f t="shared" si="2"/>
        <v>6.4285714285714279</v>
      </c>
    </row>
    <row r="32" spans="1:10" ht="12.75" customHeight="1" x14ac:dyDescent="0.25">
      <c r="A32" s="937"/>
      <c r="B32" s="955"/>
      <c r="C32" s="942" t="s">
        <v>172</v>
      </c>
      <c r="D32" s="59" t="s">
        <v>183</v>
      </c>
      <c r="E32" s="966">
        <v>84</v>
      </c>
      <c r="F32" s="967">
        <v>84</v>
      </c>
      <c r="G32" s="966">
        <v>7</v>
      </c>
      <c r="H32" s="492">
        <f>G32/E32*100</f>
        <v>8.3333333333333321</v>
      </c>
      <c r="I32" s="463">
        <f t="shared" si="2"/>
        <v>8.3333333333333321</v>
      </c>
    </row>
    <row r="33" spans="1:9" ht="12.75" customHeight="1" x14ac:dyDescent="0.25">
      <c r="A33" s="937"/>
      <c r="B33" s="956" t="s">
        <v>233</v>
      </c>
      <c r="C33" s="942" t="s">
        <v>247</v>
      </c>
      <c r="D33" s="59" t="s">
        <v>210</v>
      </c>
      <c r="E33" s="273">
        <v>80</v>
      </c>
      <c r="F33" s="968">
        <v>80</v>
      </c>
      <c r="G33" s="966">
        <v>0</v>
      </c>
      <c r="H33" s="492">
        <f>G33/E33*100</f>
        <v>0</v>
      </c>
      <c r="I33" s="463">
        <f t="shared" si="2"/>
        <v>0</v>
      </c>
    </row>
    <row r="34" spans="1:9" ht="12.75" customHeight="1" x14ac:dyDescent="0.25">
      <c r="A34" s="937"/>
      <c r="B34" s="956"/>
      <c r="C34" s="942"/>
      <c r="D34" s="59"/>
      <c r="E34" s="273"/>
      <c r="F34" s="968"/>
      <c r="G34" s="966"/>
      <c r="H34" s="492"/>
      <c r="I34" s="463"/>
    </row>
    <row r="35" spans="1:9" ht="12.75" customHeight="1" x14ac:dyDescent="0.25">
      <c r="A35" s="937"/>
      <c r="B35" s="956"/>
      <c r="C35" s="606" t="s">
        <v>496</v>
      </c>
      <c r="D35" s="64"/>
      <c r="E35" s="273"/>
      <c r="F35" s="968"/>
      <c r="G35" s="970"/>
      <c r="H35" s="492"/>
      <c r="I35" s="463"/>
    </row>
    <row r="36" spans="1:9" ht="12.75" customHeight="1" x14ac:dyDescent="0.25">
      <c r="A36" s="937"/>
      <c r="B36" s="956"/>
      <c r="C36" s="606"/>
      <c r="D36" s="73" t="s">
        <v>497</v>
      </c>
      <c r="E36" s="971">
        <f>E37</f>
        <v>0</v>
      </c>
      <c r="F36" s="972">
        <f>F37</f>
        <v>3016.9</v>
      </c>
      <c r="G36" s="973">
        <f>G37</f>
        <v>732</v>
      </c>
      <c r="H36" s="484">
        <f>H37</f>
        <v>0</v>
      </c>
      <c r="I36" s="485">
        <f>I37</f>
        <v>24.263316649540918</v>
      </c>
    </row>
    <row r="37" spans="1:9" ht="12.75" customHeight="1" x14ac:dyDescent="0.25">
      <c r="A37" s="937"/>
      <c r="B37" s="956"/>
      <c r="C37" s="606"/>
      <c r="D37" s="969" t="s">
        <v>498</v>
      </c>
      <c r="E37" s="273">
        <v>0</v>
      </c>
      <c r="F37" s="968">
        <v>3016.9</v>
      </c>
      <c r="G37" s="970">
        <v>732</v>
      </c>
      <c r="H37" s="492">
        <v>0</v>
      </c>
      <c r="I37" s="463">
        <f>G37/F37*100</f>
        <v>24.263316649540918</v>
      </c>
    </row>
    <row r="38" spans="1:9" ht="12.75" customHeight="1" x14ac:dyDescent="0.25">
      <c r="A38" s="937"/>
      <c r="B38" s="956"/>
      <c r="C38" s="612"/>
      <c r="D38" s="969"/>
      <c r="E38" s="273"/>
      <c r="F38" s="968"/>
      <c r="G38" s="970"/>
      <c r="H38" s="492"/>
      <c r="I38" s="463"/>
    </row>
    <row r="39" spans="1:9" ht="12.75" customHeight="1" x14ac:dyDescent="0.25">
      <c r="A39" s="70" t="s">
        <v>485</v>
      </c>
      <c r="B39" s="1152" t="s">
        <v>479</v>
      </c>
      <c r="C39" s="1153"/>
      <c r="D39" s="59"/>
      <c r="E39" s="273"/>
      <c r="F39" s="968"/>
      <c r="G39" s="966"/>
      <c r="H39" s="492"/>
      <c r="I39" s="463"/>
    </row>
    <row r="40" spans="1:9" ht="12.75" customHeight="1" x14ac:dyDescent="0.25">
      <c r="A40" s="72"/>
      <c r="B40" s="66"/>
      <c r="C40" s="71"/>
      <c r="D40" s="73" t="s">
        <v>169</v>
      </c>
      <c r="E40" s="957">
        <f>SUM(E41:E51)</f>
        <v>1570</v>
      </c>
      <c r="F40" s="958">
        <f>SUM(F41:F51)</f>
        <v>2987.8</v>
      </c>
      <c r="G40" s="957">
        <f>SUM(G41:G51)</f>
        <v>708</v>
      </c>
      <c r="H40" s="484">
        <f t="shared" ref="H40:H51" si="3">G40/E40*100</f>
        <v>45.095541401273884</v>
      </c>
      <c r="I40" s="485">
        <f t="shared" ref="I40:I51" si="4">G40/F40*100</f>
        <v>23.696365218555457</v>
      </c>
    </row>
    <row r="41" spans="1:9" ht="12.75" customHeight="1" x14ac:dyDescent="0.25">
      <c r="A41" s="72"/>
      <c r="B41" s="66"/>
      <c r="C41" s="149" t="s">
        <v>287</v>
      </c>
      <c r="D41" s="64" t="s">
        <v>171</v>
      </c>
      <c r="E41" s="273">
        <v>650</v>
      </c>
      <c r="F41" s="968">
        <f>298.2+986.8</f>
        <v>1285</v>
      </c>
      <c r="G41" s="970">
        <f>298+88</f>
        <v>386</v>
      </c>
      <c r="H41" s="492">
        <f t="shared" si="3"/>
        <v>59.38461538461538</v>
      </c>
      <c r="I41" s="463">
        <f t="shared" si="4"/>
        <v>30.038910505836576</v>
      </c>
    </row>
    <row r="42" spans="1:9" ht="12.75" customHeight="1" x14ac:dyDescent="0.25">
      <c r="A42" s="72"/>
      <c r="B42" s="66"/>
      <c r="C42" s="149" t="s">
        <v>287</v>
      </c>
      <c r="D42" s="64" t="s">
        <v>175</v>
      </c>
      <c r="E42" s="273">
        <v>200</v>
      </c>
      <c r="F42" s="968">
        <f>50+285.1</f>
        <v>335.1</v>
      </c>
      <c r="G42" s="970">
        <f>50+13</f>
        <v>63</v>
      </c>
      <c r="H42" s="492">
        <f t="shared" si="3"/>
        <v>31.5</v>
      </c>
      <c r="I42" s="463">
        <f t="shared" si="4"/>
        <v>18.800358102059086</v>
      </c>
    </row>
    <row r="43" spans="1:9" ht="12.75" customHeight="1" x14ac:dyDescent="0.25">
      <c r="A43" s="72"/>
      <c r="B43" s="66"/>
      <c r="C43" s="149" t="s">
        <v>287</v>
      </c>
      <c r="D43" s="64" t="s">
        <v>177</v>
      </c>
      <c r="E43" s="273">
        <v>80</v>
      </c>
      <c r="F43" s="968">
        <f>18+122.1</f>
        <v>140.1</v>
      </c>
      <c r="G43" s="970">
        <f>18+5</f>
        <v>23</v>
      </c>
      <c r="H43" s="492">
        <f t="shared" si="3"/>
        <v>28.749999999999996</v>
      </c>
      <c r="I43" s="463">
        <f t="shared" si="4"/>
        <v>16.416845110635261</v>
      </c>
    </row>
    <row r="44" spans="1:9" ht="12.75" customHeight="1" x14ac:dyDescent="0.25">
      <c r="A44" s="72"/>
      <c r="B44" s="66"/>
      <c r="C44" s="149" t="s">
        <v>287</v>
      </c>
      <c r="D44" s="64" t="s">
        <v>441</v>
      </c>
      <c r="E44" s="273">
        <v>20</v>
      </c>
      <c r="F44" s="968">
        <f>20</f>
        <v>20</v>
      </c>
      <c r="G44" s="970">
        <f>0</f>
        <v>0</v>
      </c>
      <c r="H44" s="492">
        <f t="shared" si="3"/>
        <v>0</v>
      </c>
      <c r="I44" s="463">
        <f t="shared" si="4"/>
        <v>0</v>
      </c>
    </row>
    <row r="45" spans="1:9" ht="12.75" customHeight="1" x14ac:dyDescent="0.25">
      <c r="A45" s="72"/>
      <c r="B45" s="66"/>
      <c r="C45" s="149" t="s">
        <v>287</v>
      </c>
      <c r="D45" s="64" t="s">
        <v>154</v>
      </c>
      <c r="E45" s="273">
        <v>30</v>
      </c>
      <c r="F45" s="968">
        <f>44.4</f>
        <v>44.4</v>
      </c>
      <c r="G45" s="970">
        <v>0</v>
      </c>
      <c r="H45" s="492">
        <f t="shared" si="3"/>
        <v>0</v>
      </c>
      <c r="I45" s="463">
        <f t="shared" si="4"/>
        <v>0</v>
      </c>
    </row>
    <row r="46" spans="1:9" ht="12.75" customHeight="1" x14ac:dyDescent="0.25">
      <c r="A46" s="72"/>
      <c r="B46" s="66"/>
      <c r="C46" s="149" t="s">
        <v>287</v>
      </c>
      <c r="D46" s="64" t="s">
        <v>117</v>
      </c>
      <c r="E46" s="273">
        <v>20</v>
      </c>
      <c r="F46" s="968">
        <f>1.8+23.1</f>
        <v>24.900000000000002</v>
      </c>
      <c r="G46" s="970">
        <v>2</v>
      </c>
      <c r="H46" s="492">
        <f t="shared" si="3"/>
        <v>10</v>
      </c>
      <c r="I46" s="463">
        <f t="shared" si="4"/>
        <v>8.0321285140562253</v>
      </c>
    </row>
    <row r="47" spans="1:9" ht="12.75" customHeight="1" x14ac:dyDescent="0.25">
      <c r="A47" s="72"/>
      <c r="B47" s="66"/>
      <c r="C47" s="149" t="s">
        <v>287</v>
      </c>
      <c r="D47" s="64" t="s">
        <v>120</v>
      </c>
      <c r="E47" s="273">
        <v>155</v>
      </c>
      <c r="F47" s="968">
        <f>132.1+233.7</f>
        <v>365.79999999999995</v>
      </c>
      <c r="G47" s="970">
        <f>131</f>
        <v>131</v>
      </c>
      <c r="H47" s="492">
        <f t="shared" si="3"/>
        <v>84.516129032258064</v>
      </c>
      <c r="I47" s="463">
        <f t="shared" si="4"/>
        <v>35.811919081465291</v>
      </c>
    </row>
    <row r="48" spans="1:9" ht="12.75" customHeight="1" x14ac:dyDescent="0.25">
      <c r="A48" s="72"/>
      <c r="B48" s="66"/>
      <c r="C48" s="149" t="s">
        <v>287</v>
      </c>
      <c r="D48" s="152" t="s">
        <v>118</v>
      </c>
      <c r="E48" s="273">
        <v>200</v>
      </c>
      <c r="F48" s="968">
        <f>72+344.8</f>
        <v>416.8</v>
      </c>
      <c r="G48" s="970">
        <v>72</v>
      </c>
      <c r="H48" s="492">
        <f t="shared" si="3"/>
        <v>36</v>
      </c>
      <c r="I48" s="463">
        <f t="shared" si="4"/>
        <v>17.274472168905948</v>
      </c>
    </row>
    <row r="49" spans="1:9" ht="12.75" customHeight="1" x14ac:dyDescent="0.25">
      <c r="A49" s="72"/>
      <c r="B49" s="66"/>
      <c r="C49" s="149" t="s">
        <v>287</v>
      </c>
      <c r="D49" s="153" t="s">
        <v>105</v>
      </c>
      <c r="E49" s="273">
        <v>100</v>
      </c>
      <c r="F49" s="968">
        <f>106.1</f>
        <v>106.1</v>
      </c>
      <c r="G49" s="970">
        <v>0</v>
      </c>
      <c r="H49" s="492">
        <f t="shared" si="3"/>
        <v>0</v>
      </c>
      <c r="I49" s="463">
        <f t="shared" si="4"/>
        <v>0</v>
      </c>
    </row>
    <row r="50" spans="1:9" ht="12.75" customHeight="1" x14ac:dyDescent="0.25">
      <c r="A50" s="72"/>
      <c r="B50" s="66"/>
      <c r="C50" s="154" t="s">
        <v>287</v>
      </c>
      <c r="D50" s="74" t="s">
        <v>196</v>
      </c>
      <c r="E50" s="273">
        <v>15</v>
      </c>
      <c r="F50" s="968">
        <f>26.1</f>
        <v>26.1</v>
      </c>
      <c r="G50" s="970">
        <v>0</v>
      </c>
      <c r="H50" s="492">
        <f t="shared" si="3"/>
        <v>0</v>
      </c>
      <c r="I50" s="463">
        <f t="shared" si="4"/>
        <v>0</v>
      </c>
    </row>
    <row r="51" spans="1:9" ht="12.75" customHeight="1" x14ac:dyDescent="0.25">
      <c r="A51" s="72"/>
      <c r="B51" s="66"/>
      <c r="C51" s="154" t="s">
        <v>287</v>
      </c>
      <c r="D51" s="74" t="s">
        <v>442</v>
      </c>
      <c r="E51" s="273">
        <v>100</v>
      </c>
      <c r="F51" s="968">
        <f>223.5</f>
        <v>223.5</v>
      </c>
      <c r="G51" s="970">
        <v>31</v>
      </c>
      <c r="H51" s="492">
        <f t="shared" si="3"/>
        <v>31</v>
      </c>
      <c r="I51" s="463">
        <f t="shared" si="4"/>
        <v>13.870246085011187</v>
      </c>
    </row>
    <row r="52" spans="1:9" ht="12.75" customHeight="1" x14ac:dyDescent="0.25">
      <c r="A52" s="72"/>
      <c r="B52" s="66"/>
      <c r="C52" s="154"/>
      <c r="D52" s="64"/>
      <c r="E52" s="273"/>
      <c r="F52" s="968"/>
      <c r="G52" s="970"/>
      <c r="H52" s="492"/>
      <c r="I52" s="463"/>
    </row>
    <row r="53" spans="1:9" ht="12.75" customHeight="1" x14ac:dyDescent="0.25">
      <c r="A53" s="70" t="s">
        <v>314</v>
      </c>
      <c r="B53" s="1152" t="s">
        <v>313</v>
      </c>
      <c r="C53" s="1153"/>
      <c r="D53" s="73" t="s">
        <v>169</v>
      </c>
      <c r="E53" s="957">
        <f>E54+E55</f>
        <v>250</v>
      </c>
      <c r="F53" s="958">
        <f>F54+F55</f>
        <v>250</v>
      </c>
      <c r="G53" s="957">
        <f>G54+G55</f>
        <v>63</v>
      </c>
      <c r="H53" s="484">
        <f>G53/E53*100</f>
        <v>25.2</v>
      </c>
      <c r="I53" s="485">
        <f>G53/F53*100</f>
        <v>25.2</v>
      </c>
    </row>
    <row r="54" spans="1:9" ht="12.75" customHeight="1" x14ac:dyDescent="0.25">
      <c r="A54" s="937"/>
      <c r="B54" s="936"/>
      <c r="C54" s="942"/>
      <c r="D54" s="954" t="s">
        <v>105</v>
      </c>
      <c r="E54" s="966">
        <v>60</v>
      </c>
      <c r="F54" s="967">
        <v>60</v>
      </c>
      <c r="G54" s="966">
        <v>3</v>
      </c>
      <c r="H54" s="492">
        <f>G54/E54*100</f>
        <v>5</v>
      </c>
      <c r="I54" s="463">
        <f>G54/F54*100</f>
        <v>5</v>
      </c>
    </row>
    <row r="55" spans="1:9" ht="12.75" customHeight="1" thickBot="1" x14ac:dyDescent="0.3">
      <c r="A55" s="953"/>
      <c r="B55" s="85" t="s">
        <v>214</v>
      </c>
      <c r="C55" s="86" t="s">
        <v>285</v>
      </c>
      <c r="D55" s="92" t="s">
        <v>185</v>
      </c>
      <c r="E55" s="232">
        <v>190</v>
      </c>
      <c r="F55" s="980">
        <v>190</v>
      </c>
      <c r="G55" s="981">
        <v>60</v>
      </c>
      <c r="H55" s="952">
        <f>G55/E55*100</f>
        <v>31.578947368421051</v>
      </c>
      <c r="I55" s="951">
        <f>G55/F55*100</f>
        <v>31.578947368421051</v>
      </c>
    </row>
    <row r="56" spans="1:9" ht="12.75" customHeight="1" x14ac:dyDescent="0.25">
      <c r="A56" s="950"/>
      <c r="B56" s="949"/>
      <c r="C56" s="948"/>
      <c r="D56" s="75"/>
      <c r="E56" s="976"/>
      <c r="F56" s="977"/>
      <c r="G56" s="978"/>
      <c r="H56" s="21"/>
      <c r="I56" s="21"/>
    </row>
    <row r="57" spans="1:9" ht="12.75" customHeight="1" x14ac:dyDescent="0.25">
      <c r="A57" s="950"/>
      <c r="B57" s="949"/>
      <c r="C57" s="948"/>
      <c r="D57" s="75"/>
      <c r="E57" s="976"/>
      <c r="F57" s="977"/>
      <c r="G57" s="978"/>
      <c r="H57" s="21"/>
      <c r="I57" s="21"/>
    </row>
    <row r="58" spans="1:9" ht="12.75" customHeight="1" thickBot="1" x14ac:dyDescent="0.3">
      <c r="A58" s="950"/>
      <c r="B58" s="949"/>
      <c r="C58" s="948"/>
      <c r="D58" s="75"/>
      <c r="E58" s="976"/>
      <c r="F58" s="977"/>
      <c r="G58" s="979"/>
      <c r="H58" s="21"/>
      <c r="I58" s="979" t="s">
        <v>505</v>
      </c>
    </row>
    <row r="59" spans="1:9" ht="12.75" customHeight="1" x14ac:dyDescent="0.25">
      <c r="A59" s="926" t="s">
        <v>1</v>
      </c>
      <c r="B59" s="1" t="s">
        <v>2</v>
      </c>
      <c r="C59" s="5" t="s">
        <v>3</v>
      </c>
      <c r="D59" s="925"/>
      <c r="E59" s="24" t="s">
        <v>336</v>
      </c>
      <c r="F59" s="24" t="s">
        <v>326</v>
      </c>
      <c r="G59" s="115" t="s">
        <v>320</v>
      </c>
      <c r="H59" s="115" t="s">
        <v>337</v>
      </c>
      <c r="I59" s="116" t="s">
        <v>337</v>
      </c>
    </row>
    <row r="60" spans="1:9" ht="12.75" customHeight="1" x14ac:dyDescent="0.25">
      <c r="A60" s="924" t="s">
        <v>5</v>
      </c>
      <c r="B60" s="2" t="s">
        <v>6</v>
      </c>
      <c r="C60" s="6" t="s">
        <v>7</v>
      </c>
      <c r="D60" s="3" t="s">
        <v>8</v>
      </c>
      <c r="E60" s="25" t="s">
        <v>325</v>
      </c>
      <c r="F60" s="25" t="s">
        <v>327</v>
      </c>
      <c r="G60" s="117" t="s">
        <v>321</v>
      </c>
      <c r="H60" s="117" t="s">
        <v>323</v>
      </c>
      <c r="I60" s="118" t="s">
        <v>324</v>
      </c>
    </row>
    <row r="61" spans="1:9" ht="12.75" customHeight="1" thickBot="1" x14ac:dyDescent="0.3">
      <c r="A61" s="923" t="s">
        <v>9</v>
      </c>
      <c r="B61" s="4" t="s">
        <v>10</v>
      </c>
      <c r="C61" s="7"/>
      <c r="D61" s="922"/>
      <c r="E61" s="26" t="s">
        <v>292</v>
      </c>
      <c r="F61" s="157">
        <v>43646</v>
      </c>
      <c r="G61" s="157">
        <v>43646</v>
      </c>
      <c r="H61" s="119"/>
      <c r="I61" s="470"/>
    </row>
    <row r="62" spans="1:9" s="48" customFormat="1" ht="12.75" customHeight="1" x14ac:dyDescent="0.25">
      <c r="A62" s="70" t="s">
        <v>213</v>
      </c>
      <c r="B62" s="80" t="s">
        <v>147</v>
      </c>
      <c r="C62" s="80"/>
      <c r="D62" s="80"/>
      <c r="E62" s="957">
        <f>E63+E66</f>
        <v>48014</v>
      </c>
      <c r="F62" s="958">
        <f>F63+F66</f>
        <v>48614</v>
      </c>
      <c r="G62" s="957">
        <f>G63+G66</f>
        <v>19748</v>
      </c>
      <c r="H62" s="938">
        <f t="shared" ref="H62:H86" si="5">G62/E62*100</f>
        <v>41.129670512767106</v>
      </c>
      <c r="I62" s="381">
        <f t="shared" ref="I62:I86" si="6">G62/F62*100</f>
        <v>40.62204303287119</v>
      </c>
    </row>
    <row r="63" spans="1:9" s="48" customFormat="1" ht="12.75" customHeight="1" x14ac:dyDescent="0.25">
      <c r="A63" s="70"/>
      <c r="B63" s="80"/>
      <c r="C63" s="80"/>
      <c r="D63" s="80" t="s">
        <v>169</v>
      </c>
      <c r="E63" s="957">
        <f>E64+E65</f>
        <v>1000</v>
      </c>
      <c r="F63" s="958">
        <f>F64+F65</f>
        <v>1000</v>
      </c>
      <c r="G63" s="957">
        <f>G64+G65</f>
        <v>93</v>
      </c>
      <c r="H63" s="938">
        <f t="shared" si="5"/>
        <v>9.3000000000000007</v>
      </c>
      <c r="I63" s="381">
        <f t="shared" si="6"/>
        <v>9.3000000000000007</v>
      </c>
    </row>
    <row r="64" spans="1:9" s="48" customFormat="1" ht="12.75" customHeight="1" x14ac:dyDescent="0.25">
      <c r="A64" s="70"/>
      <c r="B64" s="91">
        <v>931</v>
      </c>
      <c r="C64" s="80"/>
      <c r="D64" s="74" t="s">
        <v>120</v>
      </c>
      <c r="E64" s="966">
        <v>800</v>
      </c>
      <c r="F64" s="967">
        <v>800</v>
      </c>
      <c r="G64" s="966">
        <v>0</v>
      </c>
      <c r="H64" s="932">
        <f t="shared" si="5"/>
        <v>0</v>
      </c>
      <c r="I64" s="931">
        <f t="shared" si="6"/>
        <v>0</v>
      </c>
    </row>
    <row r="65" spans="1:9" s="48" customFormat="1" ht="12.75" customHeight="1" x14ac:dyDescent="0.25">
      <c r="A65" s="70"/>
      <c r="B65" s="91">
        <v>931</v>
      </c>
      <c r="C65" s="80"/>
      <c r="D65" s="935" t="s">
        <v>105</v>
      </c>
      <c r="E65" s="966">
        <v>200</v>
      </c>
      <c r="F65" s="967">
        <v>200</v>
      </c>
      <c r="G65" s="966">
        <v>93</v>
      </c>
      <c r="H65" s="932">
        <f t="shared" si="5"/>
        <v>46.5</v>
      </c>
      <c r="I65" s="931">
        <f t="shared" si="6"/>
        <v>46.5</v>
      </c>
    </row>
    <row r="66" spans="1:9" ht="12.75" customHeight="1" x14ac:dyDescent="0.25">
      <c r="A66" s="947"/>
      <c r="B66" s="946"/>
      <c r="C66" s="940" t="s">
        <v>218</v>
      </c>
      <c r="D66" s="940" t="s">
        <v>169</v>
      </c>
      <c r="E66" s="957">
        <f>SUM(E67:E94)</f>
        <v>47014</v>
      </c>
      <c r="F66" s="958">
        <f>SUM(F67:F94)</f>
        <v>47614</v>
      </c>
      <c r="G66" s="957">
        <f>SUM(G67:G94)</f>
        <v>19655</v>
      </c>
      <c r="H66" s="938">
        <f t="shared" si="5"/>
        <v>41.806695877823628</v>
      </c>
      <c r="I66" s="381">
        <f t="shared" si="6"/>
        <v>41.279875666820679</v>
      </c>
    </row>
    <row r="67" spans="1:9" ht="12.75" customHeight="1" x14ac:dyDescent="0.25">
      <c r="A67" s="944"/>
      <c r="B67" s="943"/>
      <c r="C67" s="935" t="s">
        <v>114</v>
      </c>
      <c r="D67" s="942" t="s">
        <v>186</v>
      </c>
      <c r="E67" s="966">
        <v>15</v>
      </c>
      <c r="F67" s="967">
        <v>15</v>
      </c>
      <c r="G67" s="966">
        <v>11</v>
      </c>
      <c r="H67" s="932">
        <f t="shared" si="5"/>
        <v>73.333333333333329</v>
      </c>
      <c r="I67" s="931">
        <f t="shared" si="6"/>
        <v>73.333333333333329</v>
      </c>
    </row>
    <row r="68" spans="1:9" ht="12.75" customHeight="1" x14ac:dyDescent="0.25">
      <c r="A68" s="944"/>
      <c r="B68" s="943"/>
      <c r="C68" s="935" t="s">
        <v>114</v>
      </c>
      <c r="D68" s="942" t="s">
        <v>115</v>
      </c>
      <c r="E68" s="966">
        <v>100</v>
      </c>
      <c r="F68" s="967">
        <v>100</v>
      </c>
      <c r="G68" s="966">
        <v>41</v>
      </c>
      <c r="H68" s="932">
        <f t="shared" si="5"/>
        <v>41</v>
      </c>
      <c r="I68" s="931">
        <f t="shared" si="6"/>
        <v>41</v>
      </c>
    </row>
    <row r="69" spans="1:9" ht="12.75" customHeight="1" x14ac:dyDescent="0.25">
      <c r="A69" s="944"/>
      <c r="B69" s="943"/>
      <c r="C69" s="935" t="s">
        <v>114</v>
      </c>
      <c r="D69" s="942" t="s">
        <v>154</v>
      </c>
      <c r="E69" s="966">
        <v>600</v>
      </c>
      <c r="F69" s="967">
        <v>600</v>
      </c>
      <c r="G69" s="966">
        <v>114</v>
      </c>
      <c r="H69" s="932">
        <f t="shared" si="5"/>
        <v>19</v>
      </c>
      <c r="I69" s="931">
        <f t="shared" si="6"/>
        <v>19</v>
      </c>
    </row>
    <row r="70" spans="1:9" ht="12.75" customHeight="1" x14ac:dyDescent="0.25">
      <c r="A70" s="944"/>
      <c r="B70" s="943"/>
      <c r="C70" s="935"/>
      <c r="D70" s="942" t="s">
        <v>155</v>
      </c>
      <c r="E70" s="966">
        <v>3600</v>
      </c>
      <c r="F70" s="967">
        <v>3600</v>
      </c>
      <c r="G70" s="966">
        <v>706</v>
      </c>
      <c r="H70" s="932">
        <f t="shared" si="5"/>
        <v>19.611111111111114</v>
      </c>
      <c r="I70" s="931">
        <f t="shared" si="6"/>
        <v>19.611111111111114</v>
      </c>
    </row>
    <row r="71" spans="1:9" ht="12.75" customHeight="1" x14ac:dyDescent="0.25">
      <c r="A71" s="944"/>
      <c r="B71" s="943"/>
      <c r="C71" s="935"/>
      <c r="D71" s="942" t="s">
        <v>187</v>
      </c>
      <c r="E71" s="966">
        <v>1</v>
      </c>
      <c r="F71" s="967">
        <v>1</v>
      </c>
      <c r="G71" s="966">
        <v>0</v>
      </c>
      <c r="H71" s="932">
        <f t="shared" si="5"/>
        <v>0</v>
      </c>
      <c r="I71" s="931">
        <f t="shared" si="6"/>
        <v>0</v>
      </c>
    </row>
    <row r="72" spans="1:9" ht="12.75" customHeight="1" x14ac:dyDescent="0.25">
      <c r="A72" s="944"/>
      <c r="B72" s="943"/>
      <c r="C72" s="935"/>
      <c r="D72" s="942" t="s">
        <v>188</v>
      </c>
      <c r="E72" s="966">
        <v>900</v>
      </c>
      <c r="F72" s="967">
        <v>900</v>
      </c>
      <c r="G72" s="966">
        <v>367</v>
      </c>
      <c r="H72" s="932">
        <f t="shared" si="5"/>
        <v>40.777777777777779</v>
      </c>
      <c r="I72" s="931">
        <f t="shared" si="6"/>
        <v>40.777777777777779</v>
      </c>
    </row>
    <row r="73" spans="1:9" ht="12.75" customHeight="1" x14ac:dyDescent="0.25">
      <c r="A73" s="944"/>
      <c r="B73" s="943"/>
      <c r="C73" s="935"/>
      <c r="D73" s="942" t="s">
        <v>189</v>
      </c>
      <c r="E73" s="966">
        <v>400</v>
      </c>
      <c r="F73" s="967">
        <v>400</v>
      </c>
      <c r="G73" s="966">
        <v>232</v>
      </c>
      <c r="H73" s="932">
        <f t="shared" si="5"/>
        <v>57.999999999999993</v>
      </c>
      <c r="I73" s="931">
        <f t="shared" si="6"/>
        <v>57.999999999999993</v>
      </c>
    </row>
    <row r="74" spans="1:9" ht="12.75" customHeight="1" x14ac:dyDescent="0.25">
      <c r="A74" s="944"/>
      <c r="B74" s="943"/>
      <c r="C74" s="935"/>
      <c r="D74" s="942" t="s">
        <v>190</v>
      </c>
      <c r="E74" s="966">
        <v>3500</v>
      </c>
      <c r="F74" s="967">
        <v>3500</v>
      </c>
      <c r="G74" s="966">
        <v>1017</v>
      </c>
      <c r="H74" s="932">
        <f t="shared" si="5"/>
        <v>29.05714285714286</v>
      </c>
      <c r="I74" s="931">
        <f t="shared" si="6"/>
        <v>29.05714285714286</v>
      </c>
    </row>
    <row r="75" spans="1:9" ht="12.75" customHeight="1" x14ac:dyDescent="0.25">
      <c r="A75" s="944"/>
      <c r="B75" s="943"/>
      <c r="C75" s="935"/>
      <c r="D75" s="942" t="s">
        <v>160</v>
      </c>
      <c r="E75" s="966">
        <v>4500</v>
      </c>
      <c r="F75" s="967">
        <v>4500</v>
      </c>
      <c r="G75" s="966">
        <v>1801</v>
      </c>
      <c r="H75" s="932">
        <f t="shared" si="5"/>
        <v>40.022222222222219</v>
      </c>
      <c r="I75" s="931">
        <f t="shared" si="6"/>
        <v>40.022222222222219</v>
      </c>
    </row>
    <row r="76" spans="1:9" ht="12.75" customHeight="1" x14ac:dyDescent="0.25">
      <c r="A76" s="944"/>
      <c r="B76" s="943"/>
      <c r="C76" s="935"/>
      <c r="D76" s="942" t="s">
        <v>191</v>
      </c>
      <c r="E76" s="966">
        <v>400</v>
      </c>
      <c r="F76" s="967">
        <v>400</v>
      </c>
      <c r="G76" s="966">
        <v>130</v>
      </c>
      <c r="H76" s="932">
        <f t="shared" si="5"/>
        <v>32.5</v>
      </c>
      <c r="I76" s="931">
        <f t="shared" si="6"/>
        <v>32.5</v>
      </c>
    </row>
    <row r="77" spans="1:9" ht="12.75" customHeight="1" x14ac:dyDescent="0.25">
      <c r="A77" s="944"/>
      <c r="B77" s="943"/>
      <c r="C77" s="935"/>
      <c r="D77" s="942" t="s">
        <v>192</v>
      </c>
      <c r="E77" s="966">
        <v>3800</v>
      </c>
      <c r="F77" s="967">
        <v>3800</v>
      </c>
      <c r="G77" s="966">
        <v>1464</v>
      </c>
      <c r="H77" s="932">
        <f t="shared" si="5"/>
        <v>38.526315789473685</v>
      </c>
      <c r="I77" s="931">
        <f t="shared" si="6"/>
        <v>38.526315789473685</v>
      </c>
    </row>
    <row r="78" spans="1:9" ht="12.75" customHeight="1" x14ac:dyDescent="0.25">
      <c r="A78" s="944"/>
      <c r="B78" s="943"/>
      <c r="C78" s="935"/>
      <c r="D78" s="942" t="s">
        <v>193</v>
      </c>
      <c r="E78" s="966">
        <v>900</v>
      </c>
      <c r="F78" s="967">
        <v>900</v>
      </c>
      <c r="G78" s="966">
        <v>397</v>
      </c>
      <c r="H78" s="932">
        <f t="shared" si="5"/>
        <v>44.111111111111114</v>
      </c>
      <c r="I78" s="931">
        <f t="shared" si="6"/>
        <v>44.111111111111114</v>
      </c>
    </row>
    <row r="79" spans="1:9" ht="12.75" customHeight="1" x14ac:dyDescent="0.25">
      <c r="A79" s="944"/>
      <c r="B79" s="943"/>
      <c r="C79" s="935"/>
      <c r="D79" s="942" t="s">
        <v>108</v>
      </c>
      <c r="E79" s="966">
        <v>400</v>
      </c>
      <c r="F79" s="967">
        <v>400</v>
      </c>
      <c r="G79" s="966">
        <v>0</v>
      </c>
      <c r="H79" s="932">
        <f t="shared" si="5"/>
        <v>0</v>
      </c>
      <c r="I79" s="931">
        <f t="shared" si="6"/>
        <v>0</v>
      </c>
    </row>
    <row r="80" spans="1:9" ht="12.75" customHeight="1" x14ac:dyDescent="0.25">
      <c r="A80" s="944"/>
      <c r="B80" s="943"/>
      <c r="C80" s="942"/>
      <c r="D80" s="60" t="s">
        <v>156</v>
      </c>
      <c r="E80" s="966">
        <v>150</v>
      </c>
      <c r="F80" s="967">
        <v>150</v>
      </c>
      <c r="G80" s="966">
        <v>0</v>
      </c>
      <c r="H80" s="932">
        <f t="shared" si="5"/>
        <v>0</v>
      </c>
      <c r="I80" s="931">
        <f t="shared" si="6"/>
        <v>0</v>
      </c>
    </row>
    <row r="81" spans="1:9" ht="12.75" customHeight="1" x14ac:dyDescent="0.25">
      <c r="A81" s="944"/>
      <c r="B81" s="943"/>
      <c r="C81" s="942"/>
      <c r="D81" s="60" t="s">
        <v>120</v>
      </c>
      <c r="E81" s="966">
        <v>200</v>
      </c>
      <c r="F81" s="967">
        <v>200</v>
      </c>
      <c r="G81" s="966">
        <v>0</v>
      </c>
      <c r="H81" s="932">
        <f t="shared" si="5"/>
        <v>0</v>
      </c>
      <c r="I81" s="931">
        <f t="shared" si="6"/>
        <v>0</v>
      </c>
    </row>
    <row r="82" spans="1:9" ht="12.75" customHeight="1" x14ac:dyDescent="0.25">
      <c r="A82" s="944"/>
      <c r="B82" s="943"/>
      <c r="C82" s="942"/>
      <c r="D82" s="942" t="s">
        <v>105</v>
      </c>
      <c r="E82" s="966">
        <v>14000</v>
      </c>
      <c r="F82" s="967">
        <v>14000</v>
      </c>
      <c r="G82" s="966">
        <v>6253</v>
      </c>
      <c r="H82" s="932">
        <f t="shared" si="5"/>
        <v>44.664285714285711</v>
      </c>
      <c r="I82" s="931">
        <f t="shared" si="6"/>
        <v>44.664285714285711</v>
      </c>
    </row>
    <row r="83" spans="1:9" ht="12.75" customHeight="1" x14ac:dyDescent="0.25">
      <c r="A83" s="944"/>
      <c r="B83" s="943"/>
      <c r="C83" s="942" t="s">
        <v>172</v>
      </c>
      <c r="D83" s="942" t="s">
        <v>194</v>
      </c>
      <c r="E83" s="966">
        <v>3000</v>
      </c>
      <c r="F83" s="967">
        <v>3000</v>
      </c>
      <c r="G83" s="966">
        <v>1311</v>
      </c>
      <c r="H83" s="932">
        <f t="shared" si="5"/>
        <v>43.7</v>
      </c>
      <c r="I83" s="931">
        <f t="shared" si="6"/>
        <v>43.7</v>
      </c>
    </row>
    <row r="84" spans="1:9" ht="12.75" customHeight="1" x14ac:dyDescent="0.25">
      <c r="A84" s="944"/>
      <c r="B84" s="943"/>
      <c r="C84" s="942"/>
      <c r="D84" s="942" t="s">
        <v>157</v>
      </c>
      <c r="E84" s="966">
        <v>10000</v>
      </c>
      <c r="F84" s="967">
        <v>10000</v>
      </c>
      <c r="G84" s="966">
        <v>4923</v>
      </c>
      <c r="H84" s="932">
        <f t="shared" si="5"/>
        <v>49.230000000000004</v>
      </c>
      <c r="I84" s="931">
        <f t="shared" si="6"/>
        <v>49.230000000000004</v>
      </c>
    </row>
    <row r="85" spans="1:9" ht="12.75" customHeight="1" x14ac:dyDescent="0.25">
      <c r="A85" s="944"/>
      <c r="B85" s="943"/>
      <c r="C85" s="942"/>
      <c r="D85" s="942" t="s">
        <v>195</v>
      </c>
      <c r="E85" s="966">
        <v>200</v>
      </c>
      <c r="F85" s="967">
        <v>200</v>
      </c>
      <c r="G85" s="966">
        <v>17</v>
      </c>
      <c r="H85" s="932">
        <f t="shared" si="5"/>
        <v>8.5</v>
      </c>
      <c r="I85" s="931">
        <f t="shared" si="6"/>
        <v>8.5</v>
      </c>
    </row>
    <row r="86" spans="1:9" ht="12.75" customHeight="1" x14ac:dyDescent="0.25">
      <c r="A86" s="944"/>
      <c r="B86" s="943"/>
      <c r="C86" s="942"/>
      <c r="D86" s="942" t="s">
        <v>196</v>
      </c>
      <c r="E86" s="966">
        <v>260</v>
      </c>
      <c r="F86" s="967">
        <v>260</v>
      </c>
      <c r="G86" s="966">
        <v>7</v>
      </c>
      <c r="H86" s="932">
        <f t="shared" si="5"/>
        <v>2.6923076923076925</v>
      </c>
      <c r="I86" s="931">
        <f t="shared" si="6"/>
        <v>2.6923076923076925</v>
      </c>
    </row>
    <row r="87" spans="1:9" ht="12.75" customHeight="1" x14ac:dyDescent="0.25">
      <c r="A87" s="944"/>
      <c r="B87" s="943"/>
      <c r="C87" s="942"/>
      <c r="D87" s="942" t="s">
        <v>434</v>
      </c>
      <c r="E87" s="966">
        <v>0</v>
      </c>
      <c r="F87" s="967">
        <v>0</v>
      </c>
      <c r="G87" s="966">
        <v>320</v>
      </c>
      <c r="H87" s="932">
        <v>0</v>
      </c>
      <c r="I87" s="931">
        <v>0</v>
      </c>
    </row>
    <row r="88" spans="1:9" ht="12.75" customHeight="1" x14ac:dyDescent="0.25">
      <c r="A88" s="944"/>
      <c r="B88" s="943"/>
      <c r="C88" s="942"/>
      <c r="D88" s="942" t="s">
        <v>197</v>
      </c>
      <c r="E88" s="966">
        <v>5</v>
      </c>
      <c r="F88" s="967">
        <v>5</v>
      </c>
      <c r="G88" s="966">
        <v>0</v>
      </c>
      <c r="H88" s="932">
        <f t="shared" ref="H88:H93" si="7">G88/E88*100</f>
        <v>0</v>
      </c>
      <c r="I88" s="931">
        <f t="shared" ref="I88:I94" si="8">G88/F88*100</f>
        <v>0</v>
      </c>
    </row>
    <row r="89" spans="1:9" ht="12.75" customHeight="1" x14ac:dyDescent="0.25">
      <c r="A89" s="944"/>
      <c r="B89" s="943"/>
      <c r="C89" s="942" t="s">
        <v>198</v>
      </c>
      <c r="D89" s="942" t="s">
        <v>199</v>
      </c>
      <c r="E89" s="966">
        <v>30</v>
      </c>
      <c r="F89" s="967">
        <v>30</v>
      </c>
      <c r="G89" s="966">
        <v>0</v>
      </c>
      <c r="H89" s="932">
        <f t="shared" si="7"/>
        <v>0</v>
      </c>
      <c r="I89" s="931">
        <f t="shared" si="8"/>
        <v>0</v>
      </c>
    </row>
    <row r="90" spans="1:9" ht="12.75" customHeight="1" x14ac:dyDescent="0.25">
      <c r="A90" s="944"/>
      <c r="B90" s="943"/>
      <c r="C90" s="942"/>
      <c r="D90" s="942" t="s">
        <v>116</v>
      </c>
      <c r="E90" s="966">
        <v>2</v>
      </c>
      <c r="F90" s="967">
        <v>2</v>
      </c>
      <c r="G90" s="966">
        <v>0</v>
      </c>
      <c r="H90" s="932">
        <f t="shared" si="7"/>
        <v>0</v>
      </c>
      <c r="I90" s="931">
        <f t="shared" si="8"/>
        <v>0</v>
      </c>
    </row>
    <row r="91" spans="1:9" ht="12.75" customHeight="1" x14ac:dyDescent="0.25">
      <c r="A91" s="944"/>
      <c r="B91" s="943"/>
      <c r="C91" s="942"/>
      <c r="D91" s="945" t="s">
        <v>200</v>
      </c>
      <c r="E91" s="966">
        <v>20</v>
      </c>
      <c r="F91" s="967">
        <v>20</v>
      </c>
      <c r="G91" s="966">
        <v>0</v>
      </c>
      <c r="H91" s="932">
        <f t="shared" si="7"/>
        <v>0</v>
      </c>
      <c r="I91" s="931">
        <f t="shared" si="8"/>
        <v>0</v>
      </c>
    </row>
    <row r="92" spans="1:9" ht="12.75" customHeight="1" x14ac:dyDescent="0.25">
      <c r="A92" s="944"/>
      <c r="B92" s="943"/>
      <c r="C92" s="942"/>
      <c r="D92" s="945" t="s">
        <v>201</v>
      </c>
      <c r="E92" s="966">
        <v>30</v>
      </c>
      <c r="F92" s="967">
        <v>30</v>
      </c>
      <c r="G92" s="966">
        <v>11</v>
      </c>
      <c r="H92" s="932">
        <f t="shared" si="7"/>
        <v>36.666666666666664</v>
      </c>
      <c r="I92" s="931">
        <f t="shared" si="8"/>
        <v>36.666666666666664</v>
      </c>
    </row>
    <row r="93" spans="1:9" ht="12.75" customHeight="1" x14ac:dyDescent="0.25">
      <c r="A93" s="944"/>
      <c r="B93" s="943"/>
      <c r="C93" s="942"/>
      <c r="D93" s="942" t="s">
        <v>202</v>
      </c>
      <c r="E93" s="966">
        <v>1</v>
      </c>
      <c r="F93" s="967">
        <v>1</v>
      </c>
      <c r="G93" s="966">
        <v>0</v>
      </c>
      <c r="H93" s="932">
        <f t="shared" si="7"/>
        <v>0</v>
      </c>
      <c r="I93" s="931">
        <f t="shared" si="8"/>
        <v>0</v>
      </c>
    </row>
    <row r="94" spans="1:9" ht="12.75" customHeight="1" x14ac:dyDescent="0.25">
      <c r="A94" s="944"/>
      <c r="B94" s="943"/>
      <c r="C94" s="942" t="s">
        <v>496</v>
      </c>
      <c r="D94" s="80" t="s">
        <v>532</v>
      </c>
      <c r="E94" s="982">
        <v>0</v>
      </c>
      <c r="F94" s="983">
        <v>600</v>
      </c>
      <c r="G94" s="982">
        <v>533</v>
      </c>
      <c r="H94" s="938">
        <v>0</v>
      </c>
      <c r="I94" s="381">
        <f t="shared" si="8"/>
        <v>88.833333333333329</v>
      </c>
    </row>
    <row r="95" spans="1:9" ht="12.75" customHeight="1" x14ac:dyDescent="0.25">
      <c r="A95" s="944"/>
      <c r="B95" s="943"/>
      <c r="C95" s="942"/>
      <c r="D95" s="942"/>
      <c r="E95" s="966"/>
      <c r="F95" s="967"/>
      <c r="G95" s="966"/>
      <c r="H95" s="938"/>
      <c r="I95" s="381"/>
    </row>
    <row r="96" spans="1:9" ht="12.75" customHeight="1" x14ac:dyDescent="0.25">
      <c r="A96" s="941" t="s">
        <v>299</v>
      </c>
      <c r="B96" s="940" t="s">
        <v>300</v>
      </c>
      <c r="C96" s="940"/>
      <c r="D96" s="80" t="s">
        <v>169</v>
      </c>
      <c r="E96" s="957">
        <f>SUM(E97:E106)</f>
        <v>29200</v>
      </c>
      <c r="F96" s="958">
        <f>SUM(F97:F106)</f>
        <v>29453.8</v>
      </c>
      <c r="G96" s="957">
        <f>SUM(G97:G106)</f>
        <v>7409.8</v>
      </c>
      <c r="H96" s="938">
        <f t="shared" ref="H96:H105" si="9">G96/E96*100</f>
        <v>25.376027397260277</v>
      </c>
      <c r="I96" s="381">
        <f t="shared" ref="I96:I106" si="10">G96/F96*100</f>
        <v>25.157365093807933</v>
      </c>
    </row>
    <row r="97" spans="1:9" ht="12.75" customHeight="1" x14ac:dyDescent="0.25">
      <c r="A97" s="79"/>
      <c r="B97" s="91">
        <v>911</v>
      </c>
      <c r="C97" s="60"/>
      <c r="D97" s="60" t="s">
        <v>154</v>
      </c>
      <c r="E97" s="966">
        <v>3000</v>
      </c>
      <c r="F97" s="967">
        <v>3000</v>
      </c>
      <c r="G97" s="966">
        <v>60</v>
      </c>
      <c r="H97" s="932">
        <f t="shared" si="9"/>
        <v>2</v>
      </c>
      <c r="I97" s="931">
        <f t="shared" si="10"/>
        <v>2</v>
      </c>
    </row>
    <row r="98" spans="1:9" ht="12.75" customHeight="1" x14ac:dyDescent="0.25">
      <c r="A98" s="79"/>
      <c r="B98" s="91">
        <v>911</v>
      </c>
      <c r="C98" s="60"/>
      <c r="D98" s="60" t="s">
        <v>117</v>
      </c>
      <c r="E98" s="966">
        <v>300</v>
      </c>
      <c r="F98" s="967">
        <v>300</v>
      </c>
      <c r="G98" s="966">
        <v>117</v>
      </c>
      <c r="H98" s="932">
        <f t="shared" si="9"/>
        <v>39</v>
      </c>
      <c r="I98" s="931">
        <f t="shared" si="10"/>
        <v>39</v>
      </c>
    </row>
    <row r="99" spans="1:9" ht="12.75" customHeight="1" x14ac:dyDescent="0.25">
      <c r="A99" s="72"/>
      <c r="B99" s="123" t="s">
        <v>214</v>
      </c>
      <c r="C99" s="61"/>
      <c r="D99" s="61" t="s">
        <v>105</v>
      </c>
      <c r="E99" s="942">
        <v>200</v>
      </c>
      <c r="F99" s="967">
        <v>200</v>
      </c>
      <c r="G99" s="966">
        <v>52</v>
      </c>
      <c r="H99" s="932">
        <f t="shared" si="9"/>
        <v>26</v>
      </c>
      <c r="I99" s="931">
        <f t="shared" si="10"/>
        <v>26</v>
      </c>
    </row>
    <row r="100" spans="1:9" ht="12.75" customHeight="1" x14ac:dyDescent="0.25">
      <c r="A100" s="72"/>
      <c r="B100" s="123" t="s">
        <v>303</v>
      </c>
      <c r="C100" s="61" t="s">
        <v>301</v>
      </c>
      <c r="D100" s="61" t="s">
        <v>160</v>
      </c>
      <c r="E100" s="942">
        <v>400</v>
      </c>
      <c r="F100" s="967">
        <v>400</v>
      </c>
      <c r="G100" s="966">
        <v>91</v>
      </c>
      <c r="H100" s="932">
        <f t="shared" si="9"/>
        <v>22.75</v>
      </c>
      <c r="I100" s="931">
        <f t="shared" si="10"/>
        <v>22.75</v>
      </c>
    </row>
    <row r="101" spans="1:9" ht="12.75" customHeight="1" x14ac:dyDescent="0.25">
      <c r="A101" s="79"/>
      <c r="B101" s="91">
        <v>911</v>
      </c>
      <c r="C101" s="60" t="s">
        <v>245</v>
      </c>
      <c r="D101" s="60" t="s">
        <v>193</v>
      </c>
      <c r="E101" s="966">
        <v>4300</v>
      </c>
      <c r="F101" s="967">
        <v>4300</v>
      </c>
      <c r="G101" s="966">
        <v>1628</v>
      </c>
      <c r="H101" s="932">
        <f t="shared" si="9"/>
        <v>37.860465116279066</v>
      </c>
      <c r="I101" s="931">
        <f t="shared" si="10"/>
        <v>37.860465116279066</v>
      </c>
    </row>
    <row r="102" spans="1:9" ht="12.75" customHeight="1" x14ac:dyDescent="0.25">
      <c r="A102" s="79"/>
      <c r="B102" s="91">
        <v>911</v>
      </c>
      <c r="C102" s="60" t="s">
        <v>293</v>
      </c>
      <c r="D102" s="60" t="s">
        <v>120</v>
      </c>
      <c r="E102" s="966">
        <v>200</v>
      </c>
      <c r="F102" s="967">
        <v>200</v>
      </c>
      <c r="G102" s="966">
        <v>95</v>
      </c>
      <c r="H102" s="932">
        <f t="shared" si="9"/>
        <v>47.5</v>
      </c>
      <c r="I102" s="931">
        <f t="shared" si="10"/>
        <v>47.5</v>
      </c>
    </row>
    <row r="103" spans="1:9" ht="12.75" customHeight="1" x14ac:dyDescent="0.25">
      <c r="A103" s="79"/>
      <c r="B103" s="91">
        <v>911</v>
      </c>
      <c r="C103" s="60" t="s">
        <v>246</v>
      </c>
      <c r="D103" s="60" t="s">
        <v>244</v>
      </c>
      <c r="E103" s="966">
        <v>18000</v>
      </c>
      <c r="F103" s="967">
        <v>18000</v>
      </c>
      <c r="G103" s="966">
        <v>4932</v>
      </c>
      <c r="H103" s="932">
        <f t="shared" si="9"/>
        <v>27.400000000000002</v>
      </c>
      <c r="I103" s="931">
        <f t="shared" si="10"/>
        <v>27.400000000000002</v>
      </c>
    </row>
    <row r="104" spans="1:9" ht="12.75" customHeight="1" x14ac:dyDescent="0.25">
      <c r="A104" s="72"/>
      <c r="B104" s="123" t="s">
        <v>214</v>
      </c>
      <c r="C104" s="61" t="s">
        <v>242</v>
      </c>
      <c r="D104" s="61" t="s">
        <v>264</v>
      </c>
      <c r="E104" s="966">
        <v>2500</v>
      </c>
      <c r="F104" s="967">
        <v>2500</v>
      </c>
      <c r="G104" s="966">
        <v>181</v>
      </c>
      <c r="H104" s="932">
        <f t="shared" si="9"/>
        <v>7.24</v>
      </c>
      <c r="I104" s="931">
        <f t="shared" si="10"/>
        <v>7.24</v>
      </c>
    </row>
    <row r="105" spans="1:9" ht="12.75" customHeight="1" x14ac:dyDescent="0.25">
      <c r="A105" s="996"/>
      <c r="B105" s="123" t="s">
        <v>214</v>
      </c>
      <c r="C105" s="61" t="s">
        <v>302</v>
      </c>
      <c r="D105" s="60" t="s">
        <v>184</v>
      </c>
      <c r="E105" s="942">
        <v>300</v>
      </c>
      <c r="F105" s="967">
        <v>300</v>
      </c>
      <c r="G105" s="966">
        <v>0</v>
      </c>
      <c r="H105" s="932">
        <f t="shared" si="9"/>
        <v>0</v>
      </c>
      <c r="I105" s="932">
        <f t="shared" si="10"/>
        <v>0</v>
      </c>
    </row>
    <row r="106" spans="1:9" ht="12.75" customHeight="1" thickBot="1" x14ac:dyDescent="0.3">
      <c r="A106" s="990"/>
      <c r="B106" s="991"/>
      <c r="C106" s="989" t="s">
        <v>501</v>
      </c>
      <c r="D106" s="997" t="s">
        <v>497</v>
      </c>
      <c r="E106" s="992">
        <v>0</v>
      </c>
      <c r="F106" s="993">
        <v>253.8</v>
      </c>
      <c r="G106" s="994">
        <v>253.8</v>
      </c>
      <c r="H106" s="995">
        <v>0</v>
      </c>
      <c r="I106" s="951">
        <f t="shared" si="10"/>
        <v>100</v>
      </c>
    </row>
    <row r="107" spans="1:9" ht="12.75" customHeight="1" x14ac:dyDescent="0.25">
      <c r="A107" s="87"/>
      <c r="B107" s="88"/>
      <c r="C107" s="89"/>
      <c r="D107" s="90"/>
      <c r="E107" s="986"/>
      <c r="F107" s="977"/>
      <c r="G107" s="987"/>
      <c r="H107" s="21"/>
      <c r="I107" s="21"/>
    </row>
    <row r="108" spans="1:9" s="939" customFormat="1" ht="12.75" customHeight="1" x14ac:dyDescent="0.25">
      <c r="A108" s="87"/>
      <c r="B108" s="88"/>
      <c r="C108" s="89"/>
      <c r="D108" s="90"/>
      <c r="E108" s="986"/>
      <c r="F108" s="977"/>
      <c r="G108" s="987"/>
      <c r="H108" s="988"/>
      <c r="I108" s="988"/>
    </row>
    <row r="109" spans="1:9" s="939" customFormat="1" ht="12.75" customHeight="1" thickBot="1" x14ac:dyDescent="0.3">
      <c r="A109" s="87"/>
      <c r="B109" s="88"/>
      <c r="C109" s="89"/>
      <c r="D109" s="90"/>
      <c r="E109" s="986"/>
      <c r="F109" s="977"/>
      <c r="G109" s="979"/>
      <c r="H109" s="988"/>
      <c r="I109" s="979" t="s">
        <v>504</v>
      </c>
    </row>
    <row r="110" spans="1:9" s="939" customFormat="1" ht="12.75" customHeight="1" x14ac:dyDescent="0.25">
      <c r="A110" s="926" t="s">
        <v>1</v>
      </c>
      <c r="B110" s="1" t="s">
        <v>2</v>
      </c>
      <c r="C110" s="5" t="s">
        <v>3</v>
      </c>
      <c r="D110" s="925"/>
      <c r="E110" s="24" t="s">
        <v>336</v>
      </c>
      <c r="F110" s="24" t="s">
        <v>326</v>
      </c>
      <c r="G110" s="115" t="s">
        <v>320</v>
      </c>
      <c r="H110" s="115" t="s">
        <v>337</v>
      </c>
      <c r="I110" s="116" t="s">
        <v>337</v>
      </c>
    </row>
    <row r="111" spans="1:9" s="939" customFormat="1" ht="12.75" customHeight="1" x14ac:dyDescent="0.25">
      <c r="A111" s="924" t="s">
        <v>5</v>
      </c>
      <c r="B111" s="2" t="s">
        <v>6</v>
      </c>
      <c r="C111" s="6" t="s">
        <v>7</v>
      </c>
      <c r="D111" s="3" t="s">
        <v>8</v>
      </c>
      <c r="E111" s="25" t="s">
        <v>325</v>
      </c>
      <c r="F111" s="25" t="s">
        <v>327</v>
      </c>
      <c r="G111" s="117" t="s">
        <v>321</v>
      </c>
      <c r="H111" s="117" t="s">
        <v>323</v>
      </c>
      <c r="I111" s="118" t="s">
        <v>324</v>
      </c>
    </row>
    <row r="112" spans="1:9" s="939" customFormat="1" ht="12.75" customHeight="1" thickBot="1" x14ac:dyDescent="0.3">
      <c r="A112" s="81" t="s">
        <v>9</v>
      </c>
      <c r="B112" s="82" t="s">
        <v>10</v>
      </c>
      <c r="C112" s="83"/>
      <c r="D112" s="84"/>
      <c r="E112" s="26" t="s">
        <v>292</v>
      </c>
      <c r="F112" s="157">
        <v>43646</v>
      </c>
      <c r="G112" s="157">
        <v>43646</v>
      </c>
      <c r="H112" s="119"/>
      <c r="I112" s="470"/>
    </row>
    <row r="113" spans="1:9" ht="12.75" customHeight="1" x14ac:dyDescent="0.25">
      <c r="A113" s="77" t="s">
        <v>215</v>
      </c>
      <c r="B113" s="1164" t="s">
        <v>216</v>
      </c>
      <c r="C113" s="1165"/>
      <c r="D113" s="78" t="s">
        <v>169</v>
      </c>
      <c r="E113" s="984">
        <f>SUM(E114:E116)</f>
        <v>3400</v>
      </c>
      <c r="F113" s="985">
        <f>SUM(F114:F116)</f>
        <v>3745.3</v>
      </c>
      <c r="G113" s="984">
        <f>SUM(G114:G116)</f>
        <v>797</v>
      </c>
      <c r="H113" s="938">
        <f>G113/E113*100</f>
        <v>23.441176470588236</v>
      </c>
      <c r="I113" s="381">
        <f>G113/F113*100</f>
        <v>21.280004272020932</v>
      </c>
    </row>
    <row r="114" spans="1:9" ht="12.75" customHeight="1" x14ac:dyDescent="0.25">
      <c r="A114" s="937"/>
      <c r="B114" s="936"/>
      <c r="C114" s="27" t="s">
        <v>241</v>
      </c>
      <c r="D114" s="1075" t="s">
        <v>120</v>
      </c>
      <c r="E114" s="1009">
        <v>3000</v>
      </c>
      <c r="F114" s="362">
        <v>3000</v>
      </c>
      <c r="G114" s="1076">
        <v>383</v>
      </c>
      <c r="H114" s="932">
        <f>G114/E114*100</f>
        <v>12.766666666666667</v>
      </c>
      <c r="I114" s="931">
        <f>G114/F114*100</f>
        <v>12.766666666666667</v>
      </c>
    </row>
    <row r="115" spans="1:9" ht="12.75" customHeight="1" x14ac:dyDescent="0.25">
      <c r="A115" s="934"/>
      <c r="B115" s="933"/>
      <c r="C115" s="409" t="s">
        <v>280</v>
      </c>
      <c r="D115" s="1075" t="s">
        <v>279</v>
      </c>
      <c r="E115" s="1009">
        <v>200</v>
      </c>
      <c r="F115" s="362">
        <v>545.29999999999995</v>
      </c>
      <c r="G115" s="1076">
        <v>414</v>
      </c>
      <c r="H115" s="932">
        <f>G115/E115*100</f>
        <v>206.99999999999997</v>
      </c>
      <c r="I115" s="931">
        <f>G115/F115*100</f>
        <v>75.921511094810199</v>
      </c>
    </row>
    <row r="116" spans="1:9" ht="12.75" customHeight="1" thickBot="1" x14ac:dyDescent="0.3">
      <c r="A116" s="930"/>
      <c r="B116" s="929"/>
      <c r="C116" s="1077" t="s">
        <v>282</v>
      </c>
      <c r="D116" s="1078" t="s">
        <v>283</v>
      </c>
      <c r="E116" s="1079">
        <v>200</v>
      </c>
      <c r="F116" s="1080">
        <v>200</v>
      </c>
      <c r="G116" s="1081">
        <v>0</v>
      </c>
      <c r="H116" s="928">
        <f>G116/E116*100</f>
        <v>0</v>
      </c>
      <c r="I116" s="927">
        <f>G116/F116*100</f>
        <v>0</v>
      </c>
    </row>
    <row r="117" spans="1:9" s="143" customFormat="1" ht="16.5" customHeight="1" thickBot="1" x14ac:dyDescent="0.3">
      <c r="A117" s="1149" t="s">
        <v>16</v>
      </c>
      <c r="B117" s="1150"/>
      <c r="C117" s="1151"/>
      <c r="D117" s="911"/>
      <c r="E117" s="1002">
        <f>E8+E53+E62+E96+E113+E40</f>
        <v>336632</v>
      </c>
      <c r="F117" s="1003">
        <f>F8+F53+F62+F96+F113+F40</f>
        <v>350781.5</v>
      </c>
      <c r="G117" s="442">
        <f>G8+G53+G62+G96+G113+G40</f>
        <v>124972.05</v>
      </c>
      <c r="H117" s="910">
        <f>G117/E117*100</f>
        <v>37.124233584448305</v>
      </c>
      <c r="I117" s="514">
        <f>G117/F117*100</f>
        <v>35.626750555545264</v>
      </c>
    </row>
    <row r="118" spans="1:9" x14ac:dyDescent="0.25">
      <c r="E118" s="21"/>
      <c r="F118" s="100"/>
      <c r="G118" s="21"/>
      <c r="H118" s="21"/>
      <c r="I118" s="21"/>
    </row>
    <row r="119" spans="1:9" x14ac:dyDescent="0.25">
      <c r="E119" s="21"/>
      <c r="F119" s="100"/>
      <c r="G119" s="21"/>
      <c r="H119" s="21"/>
      <c r="I119" s="21"/>
    </row>
    <row r="120" spans="1:9" ht="15.75" thickBot="1" x14ac:dyDescent="0.3">
      <c r="E120" s="21"/>
      <c r="F120" s="100"/>
      <c r="G120" s="21"/>
      <c r="H120" s="21"/>
      <c r="I120" s="21"/>
    </row>
    <row r="121" spans="1:9" x14ac:dyDescent="0.25">
      <c r="A121" s="926" t="s">
        <v>1</v>
      </c>
      <c r="B121" s="1" t="s">
        <v>2</v>
      </c>
      <c r="C121" s="5" t="s">
        <v>3</v>
      </c>
      <c r="D121" s="925"/>
      <c r="E121" s="24" t="s">
        <v>336</v>
      </c>
      <c r="F121" s="24" t="s">
        <v>326</v>
      </c>
      <c r="G121" s="115" t="s">
        <v>320</v>
      </c>
      <c r="H121" s="115" t="s">
        <v>337</v>
      </c>
      <c r="I121" s="116" t="s">
        <v>337</v>
      </c>
    </row>
    <row r="122" spans="1:9" x14ac:dyDescent="0.25">
      <c r="A122" s="924" t="s">
        <v>5</v>
      </c>
      <c r="B122" s="2" t="s">
        <v>6</v>
      </c>
      <c r="C122" s="6" t="s">
        <v>7</v>
      </c>
      <c r="D122" s="3" t="s">
        <v>8</v>
      </c>
      <c r="E122" s="25" t="s">
        <v>325</v>
      </c>
      <c r="F122" s="25" t="s">
        <v>327</v>
      </c>
      <c r="G122" s="117" t="s">
        <v>321</v>
      </c>
      <c r="H122" s="117" t="s">
        <v>323</v>
      </c>
      <c r="I122" s="118" t="s">
        <v>324</v>
      </c>
    </row>
    <row r="123" spans="1:9" ht="15.75" thickBot="1" x14ac:dyDescent="0.3">
      <c r="A123" s="923" t="s">
        <v>9</v>
      </c>
      <c r="B123" s="4" t="s">
        <v>10</v>
      </c>
      <c r="C123" s="7"/>
      <c r="D123" s="922"/>
      <c r="E123" s="26" t="s">
        <v>292</v>
      </c>
      <c r="F123" s="157">
        <v>43646</v>
      </c>
      <c r="G123" s="157">
        <v>43646</v>
      </c>
      <c r="H123" s="119"/>
      <c r="I123" s="470"/>
    </row>
    <row r="124" spans="1:9" ht="16.5" customHeight="1" x14ac:dyDescent="0.25">
      <c r="A124" s="921" t="s">
        <v>338</v>
      </c>
      <c r="B124" s="2"/>
      <c r="C124" s="6"/>
      <c r="D124" s="920"/>
      <c r="E124" s="25"/>
      <c r="F124" s="97"/>
      <c r="G124" s="117"/>
      <c r="H124" s="117"/>
      <c r="I124" s="341"/>
    </row>
    <row r="125" spans="1:9" x14ac:dyDescent="0.25">
      <c r="A125" s="752" t="s">
        <v>213</v>
      </c>
      <c r="B125" s="776" t="s">
        <v>147</v>
      </c>
      <c r="C125" s="776"/>
      <c r="D125" s="776"/>
      <c r="E125" s="244">
        <f>SUM(E126:E129)</f>
        <v>4583</v>
      </c>
      <c r="F125" s="245">
        <f>SUM(F126:F129)</f>
        <v>4583</v>
      </c>
      <c r="G125" s="244">
        <f>SUM(G126:G129)</f>
        <v>1248</v>
      </c>
      <c r="H125" s="130">
        <f t="shared" ref="H125:H130" si="11">G125/E125*100</f>
        <v>27.231071350643681</v>
      </c>
      <c r="I125" s="131">
        <f t="shared" ref="I125:I130" si="12">G125/F125*100</f>
        <v>27.231071350643681</v>
      </c>
    </row>
    <row r="126" spans="1:9" x14ac:dyDescent="0.25">
      <c r="A126" s="779"/>
      <c r="B126" s="753"/>
      <c r="C126" s="780" t="s">
        <v>412</v>
      </c>
      <c r="D126" s="781" t="s">
        <v>169</v>
      </c>
      <c r="E126" s="917">
        <v>2083</v>
      </c>
      <c r="F126" s="916">
        <v>2083</v>
      </c>
      <c r="G126" s="386">
        <v>688</v>
      </c>
      <c r="H126" s="533">
        <f t="shared" si="11"/>
        <v>33.029284685549683</v>
      </c>
      <c r="I126" s="301">
        <f t="shared" si="12"/>
        <v>33.029284685549683</v>
      </c>
    </row>
    <row r="127" spans="1:9" x14ac:dyDescent="0.25">
      <c r="A127" s="779"/>
      <c r="B127" s="782"/>
      <c r="C127" s="780" t="s">
        <v>413</v>
      </c>
      <c r="D127" s="781" t="s">
        <v>169</v>
      </c>
      <c r="E127" s="917">
        <v>500</v>
      </c>
      <c r="F127" s="916">
        <v>500</v>
      </c>
      <c r="G127" s="386">
        <v>28</v>
      </c>
      <c r="H127" s="533">
        <f t="shared" si="11"/>
        <v>5.6000000000000005</v>
      </c>
      <c r="I127" s="301">
        <f t="shared" si="12"/>
        <v>5.6000000000000005</v>
      </c>
    </row>
    <row r="128" spans="1:9" x14ac:dyDescent="0.25">
      <c r="A128" s="919"/>
      <c r="B128" s="918"/>
      <c r="C128" s="780" t="s">
        <v>414</v>
      </c>
      <c r="D128" s="781" t="s">
        <v>169</v>
      </c>
      <c r="E128" s="917">
        <v>500</v>
      </c>
      <c r="F128" s="916">
        <v>500</v>
      </c>
      <c r="G128" s="386">
        <v>0</v>
      </c>
      <c r="H128" s="533">
        <f t="shared" si="11"/>
        <v>0</v>
      </c>
      <c r="I128" s="301">
        <f t="shared" si="12"/>
        <v>0</v>
      </c>
    </row>
    <row r="129" spans="1:9" ht="15.75" thickBot="1" x14ac:dyDescent="0.3">
      <c r="A129" s="915"/>
      <c r="B129" s="914"/>
      <c r="C129" s="783" t="s">
        <v>415</v>
      </c>
      <c r="D129" s="781" t="s">
        <v>169</v>
      </c>
      <c r="E129" s="913">
        <v>1500</v>
      </c>
      <c r="F129" s="912">
        <v>1500</v>
      </c>
      <c r="G129" s="386">
        <v>532</v>
      </c>
      <c r="H129" s="533">
        <f t="shared" si="11"/>
        <v>35.466666666666669</v>
      </c>
      <c r="I129" s="301">
        <f t="shared" si="12"/>
        <v>35.466666666666669</v>
      </c>
    </row>
    <row r="130" spans="1:9" s="143" customFormat="1" ht="16.5" thickBot="1" x14ac:dyDescent="0.3">
      <c r="A130" s="1149" t="s">
        <v>416</v>
      </c>
      <c r="B130" s="1150"/>
      <c r="C130" s="1151"/>
      <c r="D130" s="911"/>
      <c r="E130" s="1002">
        <f>E125</f>
        <v>4583</v>
      </c>
      <c r="F130" s="1003">
        <f>F125</f>
        <v>4583</v>
      </c>
      <c r="G130" s="1002">
        <f>G125</f>
        <v>1248</v>
      </c>
      <c r="H130" s="910">
        <f t="shared" si="11"/>
        <v>27.231071350643681</v>
      </c>
      <c r="I130" s="514">
        <f t="shared" si="12"/>
        <v>27.231071350643681</v>
      </c>
    </row>
    <row r="131" spans="1:9" ht="15.75" thickBot="1" x14ac:dyDescent="0.3">
      <c r="E131" s="21"/>
      <c r="F131" s="100"/>
      <c r="G131" s="21"/>
      <c r="H131" s="21"/>
      <c r="I131" s="21"/>
    </row>
    <row r="132" spans="1:9" s="143" customFormat="1" ht="16.5" thickBot="1" x14ac:dyDescent="0.3">
      <c r="A132" s="1149" t="s">
        <v>425</v>
      </c>
      <c r="B132" s="1150"/>
      <c r="C132" s="1151"/>
      <c r="D132" s="911"/>
      <c r="E132" s="1002">
        <f>E117+E130</f>
        <v>341215</v>
      </c>
      <c r="F132" s="1003">
        <f>F117+F130</f>
        <v>355364.5</v>
      </c>
      <c r="G132" s="1002">
        <f>G117+G130</f>
        <v>126220.05</v>
      </c>
      <c r="H132" s="910">
        <f>G132/E132*100</f>
        <v>36.991354424629634</v>
      </c>
      <c r="I132" s="514">
        <f>G132/F132*100</f>
        <v>35.518474692885754</v>
      </c>
    </row>
  </sheetData>
  <mergeCells count="14">
    <mergeCell ref="H19:H20"/>
    <mergeCell ref="I19:I20"/>
    <mergeCell ref="F19:F20"/>
    <mergeCell ref="B53:C53"/>
    <mergeCell ref="B113:C113"/>
    <mergeCell ref="E19:E20"/>
    <mergeCell ref="B39:C39"/>
    <mergeCell ref="A130:C130"/>
    <mergeCell ref="A132:C132"/>
    <mergeCell ref="A117:C117"/>
    <mergeCell ref="B8:C8"/>
    <mergeCell ref="A19:A20"/>
    <mergeCell ref="B19:B20"/>
    <mergeCell ref="C19:C20"/>
  </mergeCells>
  <printOptions horizontalCentered="1"/>
  <pageMargins left="0.43307086614173229" right="0" top="0.11811023622047245" bottom="0" header="0" footer="0"/>
  <pageSetup paperSize="9" scale="77" fitToHeight="0" orientation="landscape" r:id="rId1"/>
  <rowBreaks count="2" manualBreakCount="2">
    <brk id="55" max="16383" man="1"/>
    <brk id="10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DD89-D764-48E6-9D76-4541AED2F1FE}">
  <sheetPr>
    <pageSetUpPr fitToPage="1"/>
  </sheetPr>
  <dimension ref="A1:I25"/>
  <sheetViews>
    <sheetView zoomScaleNormal="100" workbookViewId="0">
      <selection activeCell="I24" sqref="I24"/>
    </sheetView>
  </sheetViews>
  <sheetFormatPr defaultRowHeight="15" x14ac:dyDescent="0.25"/>
  <cols>
    <col min="1" max="2" width="11.28515625" customWidth="1"/>
    <col min="3" max="3" width="46.5703125" customWidth="1"/>
    <col min="4" max="4" width="42.140625" customWidth="1"/>
    <col min="5" max="7" width="16.42578125" customWidth="1"/>
    <col min="8" max="9" width="10.7109375" customWidth="1"/>
  </cols>
  <sheetData>
    <row r="1" spans="1:9" x14ac:dyDescent="0.25">
      <c r="A1" s="8"/>
      <c r="B1" s="8"/>
      <c r="C1" s="8"/>
      <c r="D1" s="8"/>
      <c r="E1" s="8"/>
    </row>
    <row r="2" spans="1:9" ht="18" x14ac:dyDescent="0.25">
      <c r="A2" s="8"/>
      <c r="B2" s="8"/>
      <c r="C2" s="22"/>
      <c r="D2" s="8"/>
      <c r="E2" s="8"/>
      <c r="I2" s="48"/>
    </row>
    <row r="3" spans="1:9" ht="15.75" x14ac:dyDescent="0.25">
      <c r="A3" s="1168" t="s">
        <v>203</v>
      </c>
      <c r="B3" s="1169"/>
      <c r="C3" s="1169"/>
      <c r="D3" s="1169"/>
      <c r="E3" s="8"/>
    </row>
    <row r="4" spans="1:9" ht="15.75" thickBot="1" x14ac:dyDescent="0.3">
      <c r="A4" s="8"/>
      <c r="B4" s="8"/>
      <c r="C4" s="8"/>
      <c r="D4" s="8"/>
      <c r="E4" s="124"/>
      <c r="I4" s="56" t="s">
        <v>503</v>
      </c>
    </row>
    <row r="5" spans="1:9" x14ac:dyDescent="0.25">
      <c r="A5" s="9" t="s">
        <v>1</v>
      </c>
      <c r="B5" s="10" t="s">
        <v>2</v>
      </c>
      <c r="C5" s="11" t="s">
        <v>3</v>
      </c>
      <c r="D5" s="12"/>
      <c r="E5" s="24" t="s">
        <v>336</v>
      </c>
      <c r="F5" s="24" t="s">
        <v>326</v>
      </c>
      <c r="G5" s="115" t="s">
        <v>320</v>
      </c>
      <c r="H5" s="115" t="s">
        <v>337</v>
      </c>
      <c r="I5" s="116" t="s">
        <v>337</v>
      </c>
    </row>
    <row r="6" spans="1:9" x14ac:dyDescent="0.25">
      <c r="A6" s="13" t="s">
        <v>5</v>
      </c>
      <c r="B6" s="14" t="s">
        <v>6</v>
      </c>
      <c r="C6" s="15" t="s">
        <v>7</v>
      </c>
      <c r="D6" s="16" t="s">
        <v>8</v>
      </c>
      <c r="E6" s="25" t="s">
        <v>325</v>
      </c>
      <c r="F6" s="25" t="s">
        <v>327</v>
      </c>
      <c r="G6" s="117" t="s">
        <v>321</v>
      </c>
      <c r="H6" s="117" t="s">
        <v>323</v>
      </c>
      <c r="I6" s="118" t="s">
        <v>324</v>
      </c>
    </row>
    <row r="7" spans="1:9" ht="15" customHeight="1" thickBot="1" x14ac:dyDescent="0.3">
      <c r="A7" s="17" t="s">
        <v>9</v>
      </c>
      <c r="B7" s="20" t="s">
        <v>10</v>
      </c>
      <c r="C7" s="18"/>
      <c r="D7" s="19"/>
      <c r="E7" s="26" t="s">
        <v>292</v>
      </c>
      <c r="F7" s="26" t="str">
        <f>[2]Kap.01!F12</f>
        <v>k 30.6.2019</v>
      </c>
      <c r="G7" s="157">
        <f>[2]Kap.01!G12</f>
        <v>43646</v>
      </c>
      <c r="H7" s="119"/>
      <c r="I7" s="120"/>
    </row>
    <row r="8" spans="1:9" ht="16.5" customHeight="1" x14ac:dyDescent="0.25">
      <c r="A8" s="51" t="s">
        <v>204</v>
      </c>
      <c r="B8" s="52"/>
      <c r="C8" s="52"/>
      <c r="D8" s="52"/>
      <c r="E8" s="125"/>
      <c r="F8" s="126"/>
      <c r="G8" s="121"/>
      <c r="H8" s="121"/>
      <c r="I8" s="122"/>
    </row>
    <row r="9" spans="1:9" x14ac:dyDescent="0.25">
      <c r="A9" s="32" t="s">
        <v>205</v>
      </c>
      <c r="B9" s="1170" t="s">
        <v>206</v>
      </c>
      <c r="C9" s="1115"/>
      <c r="D9" s="33"/>
      <c r="E9" s="30">
        <f>SUM(E11:E15)</f>
        <v>250</v>
      </c>
      <c r="F9" s="114">
        <f t="shared" ref="F9" si="0">SUM(F11:F15)</f>
        <v>11735.1</v>
      </c>
      <c r="G9" s="30">
        <f>SUM(G11:G16)</f>
        <v>1073</v>
      </c>
      <c r="H9" s="130">
        <f t="shared" ref="H9" si="1">G9/E9*100</f>
        <v>429.2</v>
      </c>
      <c r="I9" s="131">
        <f t="shared" ref="I9" si="2">G9/F9*100</f>
        <v>9.1435096420141271</v>
      </c>
    </row>
    <row r="10" spans="1:9" ht="15" customHeight="1" x14ac:dyDescent="0.25">
      <c r="A10" s="31"/>
      <c r="B10" s="34"/>
      <c r="C10" s="35" t="s">
        <v>207</v>
      </c>
      <c r="D10" s="36" t="s">
        <v>221</v>
      </c>
      <c r="E10" s="49"/>
      <c r="F10" s="127"/>
      <c r="G10" s="76"/>
      <c r="H10" s="139"/>
      <c r="I10" s="140"/>
    </row>
    <row r="11" spans="1:9" x14ac:dyDescent="0.25">
      <c r="A11" s="132"/>
      <c r="B11" s="37"/>
      <c r="C11" s="38"/>
      <c r="D11" s="28" t="s">
        <v>108</v>
      </c>
      <c r="E11" s="53">
        <v>250</v>
      </c>
      <c r="F11" s="128">
        <v>250</v>
      </c>
      <c r="G11" s="76">
        <v>104</v>
      </c>
      <c r="H11" s="139">
        <f t="shared" ref="H11" si="3">G11/E11*100</f>
        <v>41.6</v>
      </c>
      <c r="I11" s="140">
        <f t="shared" ref="I11" si="4">G11/F11*100</f>
        <v>41.6</v>
      </c>
    </row>
    <row r="12" spans="1:9" x14ac:dyDescent="0.25">
      <c r="A12" s="132"/>
      <c r="B12" s="34"/>
      <c r="C12" s="38" t="s">
        <v>435</v>
      </c>
      <c r="D12" s="28" t="s">
        <v>436</v>
      </c>
      <c r="E12" s="53"/>
      <c r="F12" s="128"/>
      <c r="G12" s="76"/>
      <c r="H12" s="139"/>
      <c r="I12" s="140"/>
    </row>
    <row r="13" spans="1:9" x14ac:dyDescent="0.25">
      <c r="A13" s="132"/>
      <c r="B13" s="37"/>
      <c r="C13" s="38"/>
      <c r="D13" s="28" t="s">
        <v>437</v>
      </c>
      <c r="E13" s="53">
        <v>0</v>
      </c>
      <c r="F13" s="128">
        <v>0</v>
      </c>
      <c r="G13" s="76">
        <v>958</v>
      </c>
      <c r="H13" s="139">
        <v>0</v>
      </c>
      <c r="I13" s="140">
        <v>0</v>
      </c>
    </row>
    <row r="14" spans="1:9" x14ac:dyDescent="0.25">
      <c r="A14" s="132"/>
      <c r="B14" s="34"/>
      <c r="C14" s="38"/>
      <c r="D14" s="28" t="s">
        <v>438</v>
      </c>
      <c r="E14" s="53"/>
      <c r="F14" s="128"/>
      <c r="G14" s="76"/>
      <c r="H14" s="139"/>
      <c r="I14" s="140"/>
    </row>
    <row r="15" spans="1:9" x14ac:dyDescent="0.25">
      <c r="A15" s="132"/>
      <c r="B15" s="37"/>
      <c r="C15" s="38"/>
      <c r="D15" s="28" t="s">
        <v>520</v>
      </c>
      <c r="E15" s="53">
        <v>0</v>
      </c>
      <c r="F15" s="128">
        <v>11485.1</v>
      </c>
      <c r="G15" s="76">
        <v>0</v>
      </c>
      <c r="H15" s="139">
        <v>0</v>
      </c>
      <c r="I15" s="140">
        <f t="shared" ref="I15" si="5">G15/F15*100</f>
        <v>0</v>
      </c>
    </row>
    <row r="16" spans="1:9" x14ac:dyDescent="0.25">
      <c r="A16" s="132"/>
      <c r="B16" s="34"/>
      <c r="C16" s="94"/>
      <c r="D16" s="28" t="s">
        <v>521</v>
      </c>
      <c r="E16" s="49">
        <v>0</v>
      </c>
      <c r="F16" s="127">
        <v>0</v>
      </c>
      <c r="G16" s="76">
        <v>11</v>
      </c>
      <c r="H16" s="139">
        <v>0</v>
      </c>
      <c r="I16" s="140">
        <v>0</v>
      </c>
    </row>
    <row r="17" spans="1:9" x14ac:dyDescent="0.25">
      <c r="A17" s="132"/>
      <c r="B17" s="1067"/>
      <c r="C17" s="38"/>
      <c r="D17" s="28"/>
      <c r="E17" s="49"/>
      <c r="F17" s="127"/>
      <c r="G17" s="76"/>
      <c r="H17" s="139"/>
      <c r="I17" s="140"/>
    </row>
    <row r="18" spans="1:9" x14ac:dyDescent="0.25">
      <c r="A18" s="39" t="s">
        <v>222</v>
      </c>
      <c r="B18" s="40" t="s">
        <v>217</v>
      </c>
      <c r="C18" s="41"/>
      <c r="D18" s="42"/>
      <c r="E18" s="30">
        <f>E20</f>
        <v>110</v>
      </c>
      <c r="F18" s="114">
        <f>F20</f>
        <v>110</v>
      </c>
      <c r="G18" s="30">
        <f>SUM(G20:G20)</f>
        <v>99</v>
      </c>
      <c r="H18" s="130">
        <f t="shared" ref="H18" si="6">G18/E18*100</f>
        <v>90</v>
      </c>
      <c r="I18" s="131">
        <f t="shared" ref="I18" si="7">G18/F18*100</f>
        <v>90</v>
      </c>
    </row>
    <row r="19" spans="1:9" x14ac:dyDescent="0.25">
      <c r="A19" s="39"/>
      <c r="B19" s="29"/>
      <c r="C19" s="40" t="s">
        <v>223</v>
      </c>
      <c r="D19" s="42"/>
      <c r="E19" s="49"/>
      <c r="F19" s="127"/>
      <c r="G19" s="76"/>
      <c r="H19" s="139"/>
      <c r="I19" s="140"/>
    </row>
    <row r="20" spans="1:9" x14ac:dyDescent="0.25">
      <c r="A20" s="31"/>
      <c r="B20" s="43"/>
      <c r="C20" s="35" t="s">
        <v>208</v>
      </c>
      <c r="D20" s="36" t="s">
        <v>209</v>
      </c>
      <c r="E20" s="49">
        <v>110</v>
      </c>
      <c r="F20" s="127">
        <v>110</v>
      </c>
      <c r="G20" s="76">
        <v>99</v>
      </c>
      <c r="H20" s="139">
        <f t="shared" ref="H20" si="8">G20/E20*100</f>
        <v>90</v>
      </c>
      <c r="I20" s="140">
        <f t="shared" ref="I20" si="9">G20/F20*100</f>
        <v>90</v>
      </c>
    </row>
    <row r="21" spans="1:9" ht="16.5" thickBot="1" x14ac:dyDescent="0.3">
      <c r="A21" s="44"/>
      <c r="B21" s="45"/>
      <c r="C21" s="46"/>
      <c r="D21" s="47"/>
      <c r="E21" s="55"/>
      <c r="F21" s="129"/>
      <c r="G21" s="155"/>
      <c r="H21" s="144"/>
      <c r="I21" s="145"/>
    </row>
    <row r="22" spans="1:9" s="143" customFormat="1" ht="16.5" thickBot="1" x14ac:dyDescent="0.3">
      <c r="A22" s="1146" t="s">
        <v>16</v>
      </c>
      <c r="B22" s="1147"/>
      <c r="C22" s="1148"/>
      <c r="D22" s="57"/>
      <c r="E22" s="141">
        <f>E9+E18</f>
        <v>360</v>
      </c>
      <c r="F22" s="142">
        <f>F9+F18</f>
        <v>11845.1</v>
      </c>
      <c r="G22" s="141">
        <f>G9+G18</f>
        <v>1172</v>
      </c>
      <c r="H22" s="146">
        <f t="shared" ref="H22" si="10">G22/E22*100</f>
        <v>325.55555555555554</v>
      </c>
      <c r="I22" s="147">
        <f t="shared" ref="I22" si="11">G22/F22*100</f>
        <v>9.8943867084279571</v>
      </c>
    </row>
    <row r="23" spans="1:9" ht="15.75" thickBot="1" x14ac:dyDescent="0.3">
      <c r="F23" s="50"/>
      <c r="H23" s="113"/>
      <c r="I23" s="113"/>
    </row>
    <row r="24" spans="1:9" s="143" customFormat="1" ht="16.5" customHeight="1" thickBot="1" x14ac:dyDescent="0.3">
      <c r="A24" s="1146" t="s">
        <v>432</v>
      </c>
      <c r="B24" s="1147"/>
      <c r="C24" s="1148"/>
      <c r="D24" s="57"/>
      <c r="E24" s="141">
        <f>E22</f>
        <v>360</v>
      </c>
      <c r="F24" s="142">
        <f t="shared" ref="F24:G24" si="12">F22</f>
        <v>11845.1</v>
      </c>
      <c r="G24" s="141">
        <f t="shared" si="12"/>
        <v>1172</v>
      </c>
      <c r="H24" s="146">
        <f t="shared" ref="H24" si="13">G24/E24*100</f>
        <v>325.55555555555554</v>
      </c>
      <c r="I24" s="147">
        <f t="shared" ref="I24" si="14">G24/F24*100</f>
        <v>9.8943867084279571</v>
      </c>
    </row>
    <row r="25" spans="1:9" x14ac:dyDescent="0.25">
      <c r="F25" s="58"/>
    </row>
  </sheetData>
  <mergeCells count="4">
    <mergeCell ref="A3:D3"/>
    <mergeCell ref="B9:C9"/>
    <mergeCell ref="A22:C22"/>
    <mergeCell ref="A24:C24"/>
  </mergeCells>
  <printOptions horizontalCentered="1"/>
  <pageMargins left="0.43307086614173229" right="0" top="0.11811023622047245" bottom="0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6</vt:i4>
      </vt:variant>
    </vt:vector>
  </HeadingPairs>
  <TitlesOfParts>
    <vt:vector size="16" baseType="lpstr">
      <vt:lpstr>Kap. 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01'!Oblast_tisku</vt:lpstr>
      <vt:lpstr>'Kap. 04'!Oblast_tisku</vt:lpstr>
      <vt:lpstr>'Kap. 06'!Oblast_tisku</vt:lpstr>
      <vt:lpstr>'Kap. 07'!Oblast_tisku</vt:lpstr>
      <vt:lpstr>'Kap. 08'!Oblast_tisku</vt:lpstr>
      <vt:lpstr>'Kap. 09'!Oblast_tisku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2019-09-10T11:00:22Z</cp:lastPrinted>
  <dcterms:created xsi:type="dcterms:W3CDTF">2014-06-06T09:29:24Z</dcterms:created>
  <dcterms:modified xsi:type="dcterms:W3CDTF">2019-09-26T05:49:23Z</dcterms:modified>
</cp:coreProperties>
</file>