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30" yWindow="345" windowWidth="17580" windowHeight="12135" tabRatio="786"/>
  </bookViews>
  <sheets>
    <sheet name="Kap.01" sheetId="1" r:id="rId1"/>
    <sheet name="Kap.02" sheetId="2" r:id="rId2"/>
    <sheet name="Kap. 03" sheetId="3" r:id="rId3"/>
    <sheet name="Kap. 04" sheetId="20" r:id="rId4"/>
    <sheet name="Kap. 05" sheetId="5" r:id="rId5"/>
    <sheet name="Kap. 06" sheetId="19" r:id="rId6"/>
    <sheet name="Kap. 07" sheetId="7" r:id="rId7"/>
    <sheet name="Kap. 08" sheetId="8" r:id="rId8"/>
    <sheet name="Kap. 09" sheetId="23" r:id="rId9"/>
    <sheet name="Kap. 10" sheetId="13" r:id="rId10"/>
  </sheets>
  <calcPr calcId="125725"/>
</workbook>
</file>

<file path=xl/calcChain.xml><?xml version="1.0" encoding="utf-8"?>
<calcChain xmlns="http://schemas.openxmlformats.org/spreadsheetml/2006/main">
  <c r="F112" i="20"/>
  <c r="F109"/>
  <c r="F64"/>
  <c r="F61"/>
  <c r="G61" s="1"/>
  <c r="F90"/>
  <c r="F87"/>
  <c r="F75"/>
  <c r="F72"/>
  <c r="F78"/>
  <c r="F74"/>
  <c r="G65"/>
  <c r="G48"/>
  <c r="G45"/>
  <c r="G43"/>
  <c r="G41"/>
  <c r="G39"/>
  <c r="G37"/>
  <c r="G35"/>
  <c r="G33"/>
  <c r="G30"/>
  <c r="G27"/>
  <c r="G25"/>
  <c r="G22"/>
  <c r="G20"/>
  <c r="G18"/>
  <c r="G16"/>
  <c r="G14"/>
  <c r="G12"/>
  <c r="G9"/>
  <c r="G8"/>
  <c r="F8"/>
  <c r="F116"/>
  <c r="F113"/>
  <c r="F108"/>
  <c r="F106"/>
  <c r="F105"/>
  <c r="F103"/>
  <c r="F101"/>
  <c r="F98"/>
  <c r="F97"/>
  <c r="F94"/>
  <c r="F93"/>
  <c r="F91"/>
  <c r="F86"/>
  <c r="F83"/>
  <c r="F82"/>
  <c r="F79"/>
  <c r="F71"/>
  <c r="F69"/>
  <c r="F68"/>
  <c r="F65"/>
  <c r="F49"/>
  <c r="F46"/>
  <c r="F44"/>
  <c r="F42"/>
  <c r="F40"/>
  <c r="F38"/>
  <c r="F36"/>
  <c r="F34"/>
  <c r="F32"/>
  <c r="F29"/>
  <c r="F26"/>
  <c r="F23"/>
  <c r="F21"/>
  <c r="F19"/>
  <c r="F17"/>
  <c r="F15"/>
  <c r="F13"/>
  <c r="F10"/>
  <c r="F48"/>
  <c r="F45"/>
  <c r="F43"/>
  <c r="F41"/>
  <c r="F39"/>
  <c r="F37"/>
  <c r="F35"/>
  <c r="F33"/>
  <c r="F30"/>
  <c r="F27"/>
  <c r="F25"/>
  <c r="F22"/>
  <c r="F20"/>
  <c r="F18"/>
  <c r="F16"/>
  <c r="F14"/>
  <c r="F12"/>
  <c r="F9"/>
  <c r="F28" i="19"/>
  <c r="E12" i="5"/>
  <c r="G25" i="1"/>
  <c r="F9" i="13"/>
  <c r="F39" i="23"/>
  <c r="E39"/>
  <c r="G7" i="19"/>
  <c r="F7"/>
  <c r="E7"/>
  <c r="G12"/>
  <c r="G22" i="5"/>
  <c r="G23"/>
  <c r="G24"/>
  <c r="G14"/>
  <c r="G15"/>
  <c r="G16"/>
  <c r="G42" i="23"/>
  <c r="G44"/>
  <c r="G45"/>
  <c r="G46"/>
  <c r="G9" i="8"/>
  <c r="G38" i="19"/>
  <c r="G19"/>
  <c r="G26"/>
  <c r="G39" i="5"/>
  <c r="G26"/>
  <c r="G146" i="20"/>
  <c r="G145"/>
  <c r="G13" i="3"/>
  <c r="F8"/>
  <c r="F13"/>
  <c r="G20"/>
  <c r="G22" i="2"/>
  <c r="G16"/>
  <c r="F86" i="23" l="1"/>
  <c r="E86"/>
  <c r="F57"/>
  <c r="E57"/>
  <c r="F35"/>
  <c r="E35"/>
  <c r="E26" i="7"/>
  <c r="F7" i="8"/>
  <c r="F27" i="1"/>
  <c r="F27" i="23" l="1"/>
  <c r="F9"/>
  <c r="F7" s="1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7"/>
  <c r="F6" l="1"/>
  <c r="F38"/>
  <c r="G11" i="13"/>
  <c r="G15"/>
  <c r="G8" i="23"/>
  <c r="G9"/>
  <c r="G10"/>
  <c r="G11"/>
  <c r="G12"/>
  <c r="G13"/>
  <c r="G14"/>
  <c r="G15"/>
  <c r="G16"/>
  <c r="G18"/>
  <c r="G19"/>
  <c r="G20"/>
  <c r="G21"/>
  <c r="G23"/>
  <c r="G24"/>
  <c r="G28"/>
  <c r="G29"/>
  <c r="G30"/>
  <c r="G31"/>
  <c r="G32"/>
  <c r="G33"/>
  <c r="G36"/>
  <c r="G40"/>
  <c r="G41"/>
  <c r="G43"/>
  <c r="G49"/>
  <c r="G50"/>
  <c r="G51"/>
  <c r="G8" i="8"/>
  <c r="G11"/>
  <c r="G15"/>
  <c r="G16"/>
  <c r="G14" i="7"/>
  <c r="G17"/>
  <c r="G18"/>
  <c r="G19"/>
  <c r="G20"/>
  <c r="G23"/>
  <c r="G24"/>
  <c r="G27"/>
  <c r="G28"/>
  <c r="G29"/>
  <c r="G15" i="19"/>
  <c r="G16"/>
  <c r="G17"/>
  <c r="G18"/>
  <c r="G21"/>
  <c r="G22"/>
  <c r="G23"/>
  <c r="G24"/>
  <c r="G25"/>
  <c r="G35"/>
  <c r="G37"/>
  <c r="G18" i="5"/>
  <c r="G19"/>
  <c r="G25"/>
  <c r="G29"/>
  <c r="G32"/>
  <c r="G36"/>
  <c r="G37"/>
  <c r="G42"/>
  <c r="G10"/>
  <c r="G13"/>
  <c r="G69" i="20"/>
  <c r="G72"/>
  <c r="G75"/>
  <c r="G79"/>
  <c r="G83"/>
  <c r="G87"/>
  <c r="G91"/>
  <c r="G94"/>
  <c r="G98"/>
  <c r="G103"/>
  <c r="G106"/>
  <c r="G109"/>
  <c r="G113"/>
  <c r="G131"/>
  <c r="G133"/>
  <c r="G135"/>
  <c r="F91" i="23" l="1"/>
  <c r="G9" i="3"/>
  <c r="G17"/>
  <c r="G19"/>
  <c r="G21"/>
  <c r="G9" i="2"/>
  <c r="G10"/>
  <c r="G12"/>
  <c r="G13"/>
  <c r="G14"/>
  <c r="G38" i="1"/>
  <c r="G36"/>
  <c r="G34"/>
  <c r="G24"/>
  <c r="G23"/>
  <c r="G19"/>
  <c r="F14" i="19" l="1"/>
  <c r="F16" i="7"/>
  <c r="G16" s="1"/>
  <c r="F8" i="2"/>
  <c r="F10" i="19"/>
  <c r="F13" i="13" l="1"/>
  <c r="F15" i="8"/>
  <c r="F26" i="7"/>
  <c r="F22"/>
  <c r="F13" s="1"/>
  <c r="F34" i="19"/>
  <c r="F39" s="1"/>
  <c r="F8" i="5"/>
  <c r="F21"/>
  <c r="F12" s="1"/>
  <c r="F28"/>
  <c r="F31"/>
  <c r="F34"/>
  <c r="F41"/>
  <c r="F60" i="20"/>
  <c r="F139"/>
  <c r="F143"/>
  <c r="F44" i="5" l="1"/>
  <c r="F17" i="13"/>
  <c r="F17" i="8"/>
  <c r="F12" i="7"/>
  <c r="F7" i="20"/>
  <c r="F30" i="7" l="1"/>
  <c r="F147" i="20"/>
  <c r="F28" i="3" l="1"/>
  <c r="F23" i="2" l="1"/>
  <c r="F33" i="1"/>
  <c r="F22"/>
  <c r="F17"/>
  <c r="F40" l="1"/>
  <c r="E17" l="1"/>
  <c r="G17" s="1"/>
  <c r="E28" i="5" l="1"/>
  <c r="G28" s="1"/>
  <c r="E31"/>
  <c r="G31" s="1"/>
  <c r="G39" i="23" l="1"/>
  <c r="E60" i="20"/>
  <c r="G60" s="1"/>
  <c r="E8" i="2" l="1"/>
  <c r="G8" s="1"/>
  <c r="E14" i="19"/>
  <c r="E41" i="5"/>
  <c r="G41" s="1"/>
  <c r="E139" i="20"/>
  <c r="G14" i="19" l="1"/>
  <c r="E27" i="23"/>
  <c r="G27" s="1"/>
  <c r="E7"/>
  <c r="G7" s="1"/>
  <c r="E22" i="7"/>
  <c r="E34" i="5"/>
  <c r="G34" s="1"/>
  <c r="E21"/>
  <c r="G21" s="1"/>
  <c r="E17"/>
  <c r="E13" i="7" l="1"/>
  <c r="G13" s="1"/>
  <c r="G22"/>
  <c r="G17" i="5"/>
  <c r="G26" i="7"/>
  <c r="E143" i="20"/>
  <c r="G143" s="1"/>
  <c r="G35" i="23" l="1"/>
  <c r="G86"/>
  <c r="E7" i="20"/>
  <c r="E6" i="23"/>
  <c r="E13" i="3"/>
  <c r="E34" i="19"/>
  <c r="G34" l="1"/>
  <c r="E39"/>
  <c r="G39" s="1"/>
  <c r="G6" i="23"/>
  <c r="E38"/>
  <c r="G38" s="1"/>
  <c r="G57"/>
  <c r="E8" i="3"/>
  <c r="G7" i="20"/>
  <c r="E147"/>
  <c r="G147" s="1"/>
  <c r="E91" i="23" l="1"/>
  <c r="G91" s="1"/>
  <c r="G8" i="3"/>
  <c r="G12" i="5" l="1"/>
  <c r="E9" i="13"/>
  <c r="G9" s="1"/>
  <c r="E33" i="1" l="1"/>
  <c r="G33" s="1"/>
  <c r="E22"/>
  <c r="G22" s="1"/>
  <c r="E19" i="2"/>
  <c r="E28" i="3"/>
  <c r="G28" s="1"/>
  <c r="E23" i="2" l="1"/>
  <c r="G23" s="1"/>
  <c r="G19"/>
  <c r="E40" i="1"/>
  <c r="G40" s="1"/>
  <c r="E15" i="8"/>
  <c r="E7"/>
  <c r="E13" i="13"/>
  <c r="E8" i="5"/>
  <c r="E17" i="13" l="1"/>
  <c r="G17" s="1"/>
  <c r="G13"/>
  <c r="G7" i="8"/>
  <c r="G8" i="5"/>
  <c r="E44"/>
  <c r="G44" s="1"/>
  <c r="E17" i="8"/>
  <c r="G17" s="1"/>
  <c r="E12" i="7"/>
  <c r="G12" s="1"/>
  <c r="E30" l="1"/>
  <c r="G30" s="1"/>
</calcChain>
</file>

<file path=xl/sharedStrings.xml><?xml version="1.0" encoding="utf-8"?>
<sst xmlns="http://schemas.openxmlformats.org/spreadsheetml/2006/main" count="866" uniqueCount="420">
  <si>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</si>
  <si>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</si>
  <si>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</si>
  <si>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</si>
  <si>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</si>
  <si>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</si>
  <si>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</si>
  <si>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</si>
  <si>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</si>
  <si>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</si>
  <si>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</si>
  <si>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</si>
  <si>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</si>
  <si>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</si>
  <si>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</si>
  <si>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</si>
  <si>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poradenské a konzultační služby</t>
  </si>
  <si>
    <t>provoz bytového hospodářství</t>
  </si>
  <si>
    <t>3699 - záležitosti bydlení, komunálních služeb</t>
  </si>
  <si>
    <t xml:space="preserve">          a územního rozvoje</t>
  </si>
  <si>
    <t>činnost odboru - právní pomoc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</si>
  <si>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</si>
  <si>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</si>
  <si>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</si>
  <si>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</si>
  <si>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</si>
  <si>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</si>
  <si>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</si>
  <si>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likvidace "černých" skládek</t>
  </si>
  <si>
    <t>3729 - ostatní nakládání s odpady jinak nespecif. (j.n.)</t>
  </si>
  <si>
    <t>činnost odboru</t>
  </si>
  <si>
    <t>3749 - ostatní činnosti k ochraně přírody a krajiny</t>
  </si>
  <si>
    <t>veřejná zeleň – běžná údržba</t>
  </si>
  <si>
    <t>3745 - péče o vzhled obcí a veřejnou zeleň</t>
  </si>
  <si>
    <t>zimní údržba chodníků</t>
  </si>
  <si>
    <t>2219 - ostatní záležitosti pozemních komunikací</t>
  </si>
  <si>
    <t>Karlínské náměstí - služby</t>
  </si>
  <si>
    <t>Kapitola 03 – doprava</t>
  </si>
  <si>
    <t>0319</t>
  </si>
  <si>
    <t xml:space="preserve">odbor dopravy ÚMČ </t>
  </si>
  <si>
    <t>čištění komunikací nad rámec TSK</t>
  </si>
  <si>
    <t>2212 - silnice</t>
  </si>
  <si>
    <t>2219 - ost. záležitosti pozemních komunikací</t>
  </si>
  <si>
    <t>opravy dláždění chodníků</t>
  </si>
  <si>
    <t>informační směrové značky - památky MČ Praha 8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</si>
  <si>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</si>
  <si>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</si>
  <si>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</si>
  <si>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</si>
  <si>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</si>
  <si>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</si>
  <si>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</si>
  <si>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</si>
  <si>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</si>
  <si>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</si>
  <si>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</si>
  <si>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</si>
  <si>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</si>
  <si>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</si>
  <si>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</si>
  <si>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</si>
  <si>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</si>
  <si>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</si>
  <si>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</si>
  <si>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</si>
  <si>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</si>
  <si>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</si>
  <si>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</si>
  <si>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</si>
  <si>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</si>
  <si>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</si>
  <si>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</si>
  <si>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</si>
  <si>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</si>
  <si>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</si>
  <si>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</si>
  <si>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</si>
  <si>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</si>
  <si>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</si>
  <si>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</si>
  <si>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</si>
  <si>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</si>
  <si>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</si>
  <si>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</si>
  <si>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</si>
  <si>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</si>
  <si>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</si>
  <si>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</si>
  <si>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</si>
  <si>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</si>
  <si>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</si>
  <si>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</si>
  <si>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</si>
  <si>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</si>
  <si>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</si>
  <si>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</si>
  <si>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</si>
  <si>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</si>
  <si>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</si>
  <si>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</si>
  <si>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</si>
  <si>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</si>
  <si>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</si>
  <si>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</si>
  <si>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</si>
  <si>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</si>
  <si>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</si>
  <si>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</si>
  <si>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</si>
  <si>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</si>
  <si>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</si>
  <si>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</si>
  <si>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</si>
  <si>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</si>
  <si>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</si>
  <si>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</si>
  <si>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</si>
  <si>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</si>
  <si>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</si>
  <si>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</si>
  <si>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</si>
  <si>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</si>
  <si>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Kapitola 05 – zdravotnictví a sociální oblast</t>
  </si>
  <si>
    <t>věcné dary dětem a mládeži</t>
  </si>
  <si>
    <t>4329 - soc. péče a pomoc dětem a mládeži j.n.</t>
  </si>
  <si>
    <t>pobyty dětí a mládeže</t>
  </si>
  <si>
    <t>mediační služba</t>
  </si>
  <si>
    <t>4339 - soc. péče a pomoc rodině a manželství</t>
  </si>
  <si>
    <t>projekt "Dům pro sociální bydlení Prosecká"</t>
  </si>
  <si>
    <t>4374 - azylové domy, nízkoprahová denní centra a noclehárny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</si>
  <si>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</si>
  <si>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</si>
  <si>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</si>
  <si>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</si>
  <si>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</si>
  <si>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</si>
  <si>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</si>
  <si>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</si>
  <si>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</si>
  <si>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ukončení činnosti přísp.organizace</t>
  </si>
  <si>
    <t>pol. 5429 - ostatní náhrady placené obyvatelstvu</t>
  </si>
  <si>
    <t>pol. 5166 - konzultační, poradenské a právní služby</t>
  </si>
  <si>
    <t>3523 - odborné léčebné ústavy</t>
  </si>
  <si>
    <t xml:space="preserve">Gerontologické centrum, Praha 8 (GC) </t>
  </si>
  <si>
    <t>pol. 5331 - neinv.příspěvky zřízeným přísp.organizacím</t>
  </si>
  <si>
    <t>vč."ošetřovatelského domu" (Benákova 6, Kobylisy)</t>
  </si>
  <si>
    <t xml:space="preserve">4351 - osobní asistence, pečovatelská služba a podpora </t>
  </si>
  <si>
    <t>samostatného bydlení</t>
  </si>
  <si>
    <t>502</t>
  </si>
  <si>
    <t xml:space="preserve">Obvodní ústav sociálně-zdravotnických 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</si>
  <si>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</si>
  <si>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</si>
  <si>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</si>
  <si>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</si>
  <si>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</si>
  <si>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</si>
  <si>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</si>
  <si>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</si>
  <si>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</si>
  <si>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</si>
  <si>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</si>
  <si>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</si>
  <si>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</si>
  <si>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 místní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</si>
  <si>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</si>
  <si>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</si>
  <si>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</si>
  <si>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</si>
  <si>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</si>
  <si>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Karlínské farmářské trhy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</si>
  <si>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</si>
  <si>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</si>
  <si>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</si>
  <si>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</si>
  <si>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</si>
  <si>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</si>
  <si>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</si>
  <si>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</si>
  <si>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</si>
  <si>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</si>
  <si>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 xml:space="preserve">činnost odboru 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</si>
  <si>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</si>
  <si>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</si>
  <si>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</si>
  <si>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</si>
  <si>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</si>
  <si>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</si>
  <si>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</si>
  <si>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</si>
  <si>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</si>
  <si>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j.n.</t>
  </si>
  <si>
    <t xml:space="preserve">náklady související s vyplacením spoluúčasti </t>
  </si>
  <si>
    <t>na pojistném plnění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</si>
  <si>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</si>
  <si>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</si>
  <si>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</si>
  <si>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</si>
  <si>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</si>
  <si>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</si>
  <si>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</si>
  <si>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</si>
  <si>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</si>
  <si>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</si>
  <si>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</si>
  <si>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</si>
  <si>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</si>
  <si>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</si>
  <si>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</si>
  <si>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</si>
  <si>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>pol. 5169 - nákup služeb j.n.(kulturní činost a zájezdy)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</si>
  <si>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</si>
  <si>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</si>
  <si>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</si>
  <si>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</si>
  <si>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</si>
  <si>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</si>
  <si>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</si>
  <si>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</si>
  <si>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</si>
  <si>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</si>
  <si>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</si>
  <si>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</si>
  <si>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</si>
  <si>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</si>
  <si>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</si>
  <si>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</si>
  <si>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</si>
  <si>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</si>
  <si>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</si>
  <si>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</si>
  <si>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</si>
  <si>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</si>
  <si>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</si>
  <si>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</si>
  <si>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</si>
  <si>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</si>
  <si>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</si>
  <si>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</si>
  <si>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</si>
  <si>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</si>
  <si>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</si>
  <si>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projekt "Centrum péče o žáky se spec. vzdělávacími potřebami"</t>
  </si>
  <si>
    <t>ZŠ Hovorčovická - soudní výlohy</t>
  </si>
  <si>
    <t>pol. 5499 - ostatní neinv.transfery obyv.j.n.</t>
  </si>
  <si>
    <t>konektivita "Bezpečná OSMIČKA"</t>
  </si>
  <si>
    <t>na rok 2015</t>
  </si>
  <si>
    <t>pol. 5195 - odvody za neplnění povinnosti zaměstnávat</t>
  </si>
  <si>
    <t xml:space="preserve">                 zdravotně postižené</t>
  </si>
  <si>
    <t>pol. 5660 - neinvestiční půjčky obyvatelstvu</t>
  </si>
  <si>
    <t>0923</t>
  </si>
  <si>
    <t>odbor živnostenský a správních činností ÚMČ</t>
  </si>
  <si>
    <t>0931</t>
  </si>
  <si>
    <t xml:space="preserve">oddělení ICT služeb </t>
  </si>
  <si>
    <t>911</t>
  </si>
  <si>
    <t>nákup služeb pro jiné odbory</t>
  </si>
  <si>
    <t>implementace bezp. politiky a ISMS</t>
  </si>
  <si>
    <t>fotokabiny s biometrickými daty</t>
  </si>
  <si>
    <t>0922</t>
  </si>
  <si>
    <t>odbor právních služeb ÚMČ</t>
  </si>
  <si>
    <t>odbor kancelář starosty ÚMČ</t>
  </si>
  <si>
    <t>oddělení hospodářské správy</t>
  </si>
  <si>
    <t>0524</t>
  </si>
  <si>
    <t>odbor sociálních věcí ÚMČ</t>
  </si>
  <si>
    <t>otevřený klub MAPA</t>
  </si>
  <si>
    <t xml:space="preserve">4379 - ostatní sociální služby </t>
  </si>
  <si>
    <t>komunitní plánování, analýzy a studie</t>
  </si>
  <si>
    <t>pol. 5222 - neinvestiční transfery spolkům</t>
  </si>
  <si>
    <t>pol. 5137 - drobný hmotný majetek-vybavení DSS II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</si>
  <si>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</si>
  <si>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</si>
  <si>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</si>
  <si>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</si>
  <si>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</si>
  <si>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>rozpočtu</t>
  </si>
  <si>
    <t>0731</t>
  </si>
  <si>
    <t xml:space="preserve">oddělení bezpečnosti a krizového řízení </t>
  </si>
  <si>
    <t>oddělení ICT služeb</t>
  </si>
  <si>
    <t>3326 - zachování a obnova hodnot</t>
  </si>
  <si>
    <t xml:space="preserve">           místního kulturního povědomí</t>
  </si>
  <si>
    <t>KD Ládví - snížení energetické náročnosti (platby architektům)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</si>
  <si>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</si>
  <si>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</si>
  <si>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</si>
  <si>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</si>
  <si>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</si>
  <si>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pol. 5331 - neinv. příspěvky zřízeným přísp.org.</t>
  </si>
  <si>
    <t>příspěvek TSK  hl. m. Prahy na bezpečnostní prvky</t>
  </si>
  <si>
    <t>podpora rezidenčních zón</t>
  </si>
  <si>
    <t>odbor životního prostředí a speciálních projektů ÚMČ</t>
  </si>
  <si>
    <t>úklid exkrementů</t>
  </si>
  <si>
    <t>odbor územního rozvoje a výstavby ÚMČ</t>
  </si>
  <si>
    <t>0104</t>
  </si>
  <si>
    <t>58</t>
  </si>
  <si>
    <t>55</t>
  </si>
  <si>
    <t>9111</t>
  </si>
  <si>
    <t>9112</t>
  </si>
  <si>
    <t>9113</t>
  </si>
  <si>
    <t>ostatní kulturní činnost, včetně výdajů na vedení kroniky</t>
  </si>
  <si>
    <t>z toho: předprojektová a projektová dokumentace</t>
  </si>
  <si>
    <t>3335</t>
  </si>
  <si>
    <t>3336</t>
  </si>
  <si>
    <t>3337</t>
  </si>
  <si>
    <t>3338</t>
  </si>
  <si>
    <t>3339</t>
  </si>
  <si>
    <t xml:space="preserve">          obnova dopravního značení</t>
  </si>
  <si>
    <t xml:space="preserve">          generel bezmotorové dopravy</t>
  </si>
  <si>
    <t xml:space="preserve">          konzultační, poradenské a právní služby</t>
  </si>
  <si>
    <t xml:space="preserve">          propagace</t>
  </si>
  <si>
    <t>Návrh</t>
  </si>
  <si>
    <t>Index</t>
  </si>
  <si>
    <t>v %</t>
  </si>
  <si>
    <t>(v tis. Kč)</t>
  </si>
  <si>
    <t>zřízených Městskou částí Praha 8</t>
  </si>
  <si>
    <t xml:space="preserve"> vlastního hospodaření Městské části Praha 8 a příspěvkových právnických osob (organizací)</t>
  </si>
  <si>
    <t>na rok 2016</t>
  </si>
  <si>
    <t>2016/2015</t>
  </si>
  <si>
    <r>
      <t xml:space="preserve"> </t>
    </r>
    <r>
      <rPr>
        <b/>
        <sz val="12"/>
        <rFont val="Arial CE"/>
        <charset val="238"/>
      </rPr>
      <t>Běžné (neinvestiční)  výdaje</t>
    </r>
  </si>
  <si>
    <t>odbor územního rozvoje a výstavy ÚMČ</t>
  </si>
  <si>
    <t xml:space="preserve">oddělení strategického rozvoje a agendy 21 </t>
  </si>
  <si>
    <t>stěhování do nové budovy</t>
  </si>
  <si>
    <t>618</t>
  </si>
  <si>
    <t>dětské kluby</t>
  </si>
  <si>
    <t>studie</t>
  </si>
  <si>
    <t>věcný dar Policii ČR, HZS</t>
  </si>
  <si>
    <t>3419 - ostatní tělovýchovná činnost</t>
  </si>
  <si>
    <t>0417</t>
  </si>
  <si>
    <t>mikrogranty na oživení veřejného prostoru</t>
  </si>
  <si>
    <t>propagace, informační letáky, mapky</t>
  </si>
  <si>
    <t>právní služby</t>
  </si>
  <si>
    <t xml:space="preserve">auditní služby </t>
  </si>
  <si>
    <t>příkazní smlouvy - supervize, TDI, KBOZP</t>
  </si>
  <si>
    <t>realizace zadávacích řízení</t>
  </si>
  <si>
    <t>0601</t>
  </si>
  <si>
    <t>dovybavení infocentra</t>
  </si>
  <si>
    <t>opravy tiskového parku a ostatního HW</t>
  </si>
  <si>
    <t>správa webových služeb</t>
  </si>
  <si>
    <t>0101</t>
  </si>
  <si>
    <t xml:space="preserve"> odbor kancelář tajemníka ÚMČ</t>
  </si>
  <si>
    <t>0401</t>
  </si>
  <si>
    <t>0501</t>
  </si>
  <si>
    <t>oddělení evropských fondů</t>
  </si>
  <si>
    <t xml:space="preserve">oddělení evropských fondů </t>
  </si>
  <si>
    <t>konzul. a poradenská čin. s Centrem Palmovka</t>
  </si>
  <si>
    <t>pořízení strategického plánu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</si>
  <si>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</si>
  <si>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</si>
  <si>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</si>
  <si>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</si>
  <si>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>0201</t>
  </si>
  <si>
    <t xml:space="preserve">Osmička pro rodinu </t>
  </si>
  <si>
    <t>využití volného času seniorů</t>
  </si>
  <si>
    <t>622</t>
  </si>
  <si>
    <t>zpracování studií a žádostí na projekty financované z fondu EU</t>
  </si>
  <si>
    <t>z toho: primární prevence</t>
  </si>
  <si>
    <t xml:space="preserve">           příspěvek na asistenty pedagoga</t>
  </si>
  <si>
    <t>z toho: příspěvek na asistenty pedagoga</t>
  </si>
  <si>
    <t>zimní údržba pěších cest</t>
  </si>
  <si>
    <t>provoz odpadkových košů na psí exkrementy</t>
  </si>
  <si>
    <t xml:space="preserve">           platy a odvody</t>
  </si>
  <si>
    <t xml:space="preserve">          příspěvek na asistenty pedagoga</t>
  </si>
  <si>
    <t xml:space="preserve">          příspěvek na provoz DH</t>
  </si>
  <si>
    <t xml:space="preserve">           anomálie, dvě budovy</t>
  </si>
  <si>
    <t>správa azylových bytů</t>
  </si>
  <si>
    <t>str. 5/13</t>
  </si>
  <si>
    <t>str. 7/13</t>
  </si>
  <si>
    <t>str. 8/13</t>
  </si>
  <si>
    <t>str. 9/13</t>
  </si>
  <si>
    <t>str. 10/13</t>
  </si>
  <si>
    <t>str. 11/13</t>
  </si>
  <si>
    <t>str. 12/13</t>
  </si>
  <si>
    <t>str. 13/13</t>
  </si>
  <si>
    <t>implementace místní Agendy 21</t>
  </si>
  <si>
    <t>příspěvek na stěhování z domů navržených k prodeji</t>
  </si>
  <si>
    <t>revitalizace veřejných prostranství</t>
  </si>
  <si>
    <t>pěší a cyklistická doprava - realizace</t>
  </si>
  <si>
    <t xml:space="preserve">pěší a cyklistická doprava, bezpečnost provozu - projekty a studie </t>
  </si>
  <si>
    <t xml:space="preserve">dopravní značení – pěší a cyklistická doprava, informační systém </t>
  </si>
  <si>
    <t>zklidňování dopravy a bezpečnost provozu - projekty</t>
  </si>
  <si>
    <t>odstraňování bariér</t>
  </si>
  <si>
    <t xml:space="preserve">studie pěší a cyklistické dopravy v oblasti Pelc Tyrolka-Thomayerovy sady-Libeňský ostrov </t>
  </si>
  <si>
    <t>příspěvek na tzv. "Chodníkový program" Technické správy  komunikací hl. m. Prahy</t>
  </si>
  <si>
    <t>monitoring tisku, tiskové konference, včetně pohoštění a prezentace Prahy 8 v médiích</t>
  </si>
  <si>
    <t>public relations městské části Praha 8</t>
  </si>
  <si>
    <t>plán péče památkové zóny</t>
  </si>
  <si>
    <t xml:space="preserve">drobná umělecká díla ve veřejném prostoru, spolupráce s občany </t>
  </si>
  <si>
    <t>divadlo Karla Hackera</t>
  </si>
  <si>
    <t>povodňová komise (zvláštní orgán MČ Praha 8)</t>
  </si>
  <si>
    <t xml:space="preserve">pojištění </t>
  </si>
  <si>
    <t>dotace na sport</t>
  </si>
  <si>
    <t>dotace na volnočasové aktivity dětí a mládeže</t>
  </si>
  <si>
    <t>dotace - protidrogová prevence</t>
  </si>
  <si>
    <t>dotace - sociální oblast</t>
  </si>
  <si>
    <t>odbor kultury, sportu, mládeže a památkové péče ÚMČ</t>
  </si>
  <si>
    <t>na provoz pro nový DSS II</t>
  </si>
  <si>
    <t>služeb (OÚSS) v Praze 8, vč. příspěvku</t>
  </si>
  <si>
    <t>pol. 5164 - nájemné</t>
  </si>
  <si>
    <r>
      <t xml:space="preserve">pol. 5171 - opravy a udržování </t>
    </r>
    <r>
      <rPr>
        <i/>
        <sz val="11"/>
        <color theme="1"/>
        <rFont val="Calibri"/>
        <family val="2"/>
        <charset val="238"/>
        <scheme val="minor"/>
      </rPr>
      <t>(hardware)</t>
    </r>
  </si>
  <si>
    <t>rozpočet</t>
  </si>
  <si>
    <t>str. 1/13</t>
  </si>
  <si>
    <t>str. 2/13</t>
  </si>
  <si>
    <t>str. 3/13</t>
  </si>
  <si>
    <t>str.  4/13</t>
  </si>
  <si>
    <t>str.  6/13</t>
  </si>
  <si>
    <t xml:space="preserve">Sdružení ambulantních zdravotnických - náhrady </t>
  </si>
  <si>
    <t>kamerové systémy - energie</t>
  </si>
  <si>
    <t xml:space="preserve">servis kamerových, bezpečnostních a vstupních systémů </t>
  </si>
  <si>
    <t>členský příspěvek</t>
  </si>
  <si>
    <t>MŠ Korycanská</t>
  </si>
  <si>
    <t>pol. 5229 - ostatní neinvestiční transfery neziskovým org.</t>
  </si>
  <si>
    <t>z toho: příspěvek na energie vč. platů topičů, vodné a stočné</t>
  </si>
  <si>
    <t xml:space="preserve">          příspěvek na energie vč. platů topičů, vodné a stočné</t>
  </si>
  <si>
    <t>z toho: příspěvek na energie vč. platů topičů vodné a stočné</t>
  </si>
  <si>
    <t xml:space="preserve">          příspěvek na energie vč. platů topičů vodné a stočné</t>
  </si>
  <si>
    <t xml:space="preserve">          příspěvek na energie vč. platů topičů,vodné a stočné</t>
  </si>
  <si>
    <t>systém řízení kvality úřadu</t>
  </si>
  <si>
    <t>zpracování urbanistické studie Palmovka a strategických vizí</t>
  </si>
  <si>
    <t>Zastupitelstva městské části Praha 8</t>
  </si>
  <si>
    <t>ze dne 24. února 2016</t>
  </si>
  <si>
    <t>Rozpočet Městské části Praha 8 na rok 2016</t>
  </si>
  <si>
    <t xml:space="preserve">Příloha č. 3 usnesení č. Usn ZMC 001/2016 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</si>
</sst>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i/>
      <sz val="10"/>
      <color theme="1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0"/>
      <color rgb="FFFF0000"/>
      <name val="Arial CE"/>
      <family val="2"/>
      <charset val="238"/>
    </font>
    <font>
      <b/>
      <sz val="10"/>
      <color theme="1"/>
      <name val="Arial"/>
      <family val="2"/>
      <charset val="238"/>
    </font>
    <font>
      <sz val="10"/>
      <color indexed="12"/>
      <name val="Arial CE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0"/>
      <color rgb="FFFF0000"/>
      <name val="Arial CE"/>
      <charset val="238"/>
    </font>
    <font>
      <i/>
      <sz val="10"/>
      <name val="Aral ce"/>
      <charset val="238"/>
    </font>
    <font>
      <sz val="10"/>
      <color theme="1"/>
      <name val="Arial ce"/>
      <charset val="238"/>
    </font>
    <font>
      <sz val="10"/>
      <name val="Aral ce"/>
      <charset val="238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3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2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0" fillId="0" borderId="17" xfId="0" applyBorder="1"/>
    <xf numFmtId="0" fontId="7" fillId="0" borderId="29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32" xfId="0" applyFont="1" applyFill="1" applyBorder="1" applyAlignment="1">
      <alignment horizontal="center"/>
    </xf>
    <xf numFmtId="0" fontId="7" fillId="0" borderId="33" xfId="0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0" fontId="4" fillId="0" borderId="40" xfId="0" applyFont="1" applyFill="1" applyBorder="1"/>
    <xf numFmtId="0" fontId="1" fillId="0" borderId="0" xfId="1"/>
    <xf numFmtId="0" fontId="4" fillId="0" borderId="0" xfId="1" applyFont="1"/>
    <xf numFmtId="0" fontId="3" fillId="0" borderId="0" xfId="1" applyFont="1"/>
    <xf numFmtId="3" fontId="6" fillId="0" borderId="0" xfId="1" applyNumberFormat="1" applyFont="1" applyAlignment="1">
      <alignment horizontal="right" vertical="center"/>
    </xf>
    <xf numFmtId="0" fontId="7" fillId="0" borderId="1" xfId="1" applyFont="1" applyBorder="1" applyAlignment="1">
      <alignment horizontal="center"/>
    </xf>
    <xf numFmtId="0" fontId="7" fillId="0" borderId="30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2" xfId="1" applyFont="1" applyBorder="1"/>
    <xf numFmtId="0" fontId="7" fillId="0" borderId="4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49" fontId="7" fillId="0" borderId="5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33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30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2" xfId="1" applyFont="1" applyFill="1" applyBorder="1"/>
    <xf numFmtId="0" fontId="7" fillId="0" borderId="4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49" fontId="7" fillId="0" borderId="5" xfId="1" applyNumberFormat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7" fillId="0" borderId="41" xfId="1" applyFont="1" applyFill="1" applyBorder="1" applyAlignment="1">
      <alignment horizontal="center"/>
    </xf>
    <xf numFmtId="0" fontId="7" fillId="0" borderId="8" xfId="1" applyFont="1" applyFill="1" applyBorder="1" applyAlignment="1">
      <alignment horizontal="center"/>
    </xf>
    <xf numFmtId="49" fontId="7" fillId="0" borderId="8" xfId="1" applyNumberFormat="1" applyFont="1" applyFill="1" applyBorder="1" applyAlignment="1">
      <alignment horizontal="center"/>
    </xf>
    <xf numFmtId="0" fontId="4" fillId="0" borderId="0" xfId="1" applyFont="1" applyBorder="1"/>
    <xf numFmtId="0" fontId="7" fillId="0" borderId="33" xfId="1" applyFont="1" applyFill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49" fontId="4" fillId="0" borderId="17" xfId="0" applyNumberFormat="1" applyFont="1" applyBorder="1"/>
    <xf numFmtId="0" fontId="0" fillId="0" borderId="0" xfId="0" applyFill="1"/>
    <xf numFmtId="0" fontId="2" fillId="0" borderId="39" xfId="0" applyFont="1" applyFill="1" applyBorder="1"/>
    <xf numFmtId="49" fontId="4" fillId="0" borderId="10" xfId="0" applyNumberFormat="1" applyFont="1" applyBorder="1"/>
    <xf numFmtId="0" fontId="4" fillId="0" borderId="0" xfId="1" applyFont="1" applyBorder="1" applyAlignment="1">
      <alignment horizontal="left"/>
    </xf>
    <xf numFmtId="0" fontId="5" fillId="0" borderId="0" xfId="1" applyFont="1"/>
    <xf numFmtId="0" fontId="6" fillId="0" borderId="0" xfId="1" applyFont="1" applyAlignment="1">
      <alignment horizontal="right"/>
    </xf>
    <xf numFmtId="0" fontId="7" fillId="0" borderId="32" xfId="1" applyFont="1" applyFill="1" applyBorder="1" applyAlignment="1">
      <alignment horizontal="center"/>
    </xf>
    <xf numFmtId="0" fontId="4" fillId="0" borderId="0" xfId="0" applyFont="1" applyBorder="1" applyAlignment="1"/>
    <xf numFmtId="0" fontId="0" fillId="0" borderId="0" xfId="0" applyBorder="1" applyAlignment="1"/>
    <xf numFmtId="0" fontId="7" fillId="0" borderId="2" xfId="0" applyFont="1" applyBorder="1"/>
    <xf numFmtId="0" fontId="4" fillId="0" borderId="47" xfId="0" applyFont="1" applyBorder="1" applyAlignment="1">
      <alignment horizontal="left"/>
    </xf>
    <xf numFmtId="0" fontId="4" fillId="0" borderId="1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9" xfId="0" applyFont="1" applyFill="1" applyBorder="1"/>
    <xf numFmtId="0" fontId="4" fillId="0" borderId="17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10" fillId="0" borderId="0" xfId="0" applyFont="1"/>
    <xf numFmtId="0" fontId="3" fillId="0" borderId="2" xfId="0" applyFont="1" applyFill="1" applyBorder="1"/>
    <xf numFmtId="0" fontId="4" fillId="0" borderId="9" xfId="0" applyFont="1" applyFill="1" applyBorder="1"/>
    <xf numFmtId="49" fontId="11" fillId="0" borderId="18" xfId="0" applyNumberFormat="1" applyFont="1" applyFill="1" applyBorder="1"/>
    <xf numFmtId="0" fontId="10" fillId="0" borderId="18" xfId="0" applyFont="1" applyBorder="1"/>
    <xf numFmtId="0" fontId="15" fillId="0" borderId="0" xfId="0" applyFont="1"/>
    <xf numFmtId="0" fontId="16" fillId="0" borderId="0" xfId="0" applyFont="1" applyBorder="1"/>
    <xf numFmtId="0" fontId="16" fillId="0" borderId="0" xfId="0" applyFont="1"/>
    <xf numFmtId="0" fontId="14" fillId="0" borderId="0" xfId="0" applyFont="1"/>
    <xf numFmtId="0" fontId="18" fillId="0" borderId="0" xfId="0" applyFont="1" applyAlignment="1">
      <alignment horizontal="right"/>
    </xf>
    <xf numFmtId="0" fontId="19" fillId="0" borderId="1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/>
    <xf numFmtId="0" fontId="19" fillId="0" borderId="5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 vertical="center" wrapText="1"/>
    </xf>
    <xf numFmtId="49" fontId="19" fillId="0" borderId="8" xfId="0" applyNumberFormat="1" applyFont="1" applyFill="1" applyBorder="1" applyAlignment="1">
      <alignment horizontal="center"/>
    </xf>
    <xf numFmtId="0" fontId="14" fillId="0" borderId="9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center"/>
    </xf>
    <xf numFmtId="0" fontId="14" fillId="0" borderId="11" xfId="0" applyFont="1" applyFill="1" applyBorder="1"/>
    <xf numFmtId="49" fontId="14" fillId="0" borderId="11" xfId="0" applyNumberFormat="1" applyFont="1" applyFill="1" applyBorder="1"/>
    <xf numFmtId="49" fontId="16" fillId="0" borderId="0" xfId="0" applyNumberFormat="1" applyFont="1" applyBorder="1" applyAlignment="1">
      <alignment horizontal="center"/>
    </xf>
    <xf numFmtId="49" fontId="10" fillId="0" borderId="0" xfId="0" applyNumberFormat="1" applyFont="1" applyBorder="1" applyAlignment="1">
      <alignment horizontal="left"/>
    </xf>
    <xf numFmtId="0" fontId="19" fillId="0" borderId="29" xfId="0" applyFont="1" applyFill="1" applyBorder="1" applyAlignment="1">
      <alignment horizontal="center"/>
    </xf>
    <xf numFmtId="0" fontId="19" fillId="0" borderId="30" xfId="0" applyFont="1" applyFill="1" applyBorder="1" applyAlignment="1">
      <alignment horizontal="center"/>
    </xf>
    <xf numFmtId="0" fontId="19" fillId="0" borderId="31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32" xfId="0" applyFont="1" applyFill="1" applyBorder="1" applyAlignment="1">
      <alignment horizontal="center"/>
    </xf>
    <xf numFmtId="0" fontId="19" fillId="0" borderId="33" xfId="0" applyFont="1" applyFill="1" applyBorder="1" applyAlignment="1">
      <alignment horizontal="center"/>
    </xf>
    <xf numFmtId="3" fontId="1" fillId="0" borderId="0" xfId="1" applyNumberFormat="1" applyFont="1" applyAlignment="1">
      <alignment horizontal="right" vertical="center"/>
    </xf>
    <xf numFmtId="49" fontId="8" fillId="0" borderId="12" xfId="0" applyNumberFormat="1" applyFont="1" applyFill="1" applyBorder="1" applyAlignment="1">
      <alignment horizontal="center"/>
    </xf>
    <xf numFmtId="0" fontId="1" fillId="0" borderId="22" xfId="0" applyFont="1" applyFill="1" applyBorder="1"/>
    <xf numFmtId="0" fontId="1" fillId="0" borderId="21" xfId="0" applyFont="1" applyFill="1" applyBorder="1" applyAlignment="1">
      <alignment horizontal="left"/>
    </xf>
    <xf numFmtId="0" fontId="1" fillId="0" borderId="21" xfId="0" applyFont="1" applyFill="1" applyBorder="1"/>
    <xf numFmtId="0" fontId="22" fillId="0" borderId="22" xfId="0" applyFont="1" applyFill="1" applyBorder="1"/>
    <xf numFmtId="49" fontId="22" fillId="0" borderId="22" xfId="0" applyNumberFormat="1" applyFont="1" applyFill="1" applyBorder="1"/>
    <xf numFmtId="0" fontId="1" fillId="0" borderId="15" xfId="0" applyFont="1" applyFill="1" applyBorder="1"/>
    <xf numFmtId="49" fontId="1" fillId="0" borderId="22" xfId="0" applyNumberFormat="1" applyFont="1" applyFill="1" applyBorder="1" applyAlignment="1">
      <alignment horizontal="center"/>
    </xf>
    <xf numFmtId="0" fontId="22" fillId="0" borderId="22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left"/>
    </xf>
    <xf numFmtId="0" fontId="22" fillId="0" borderId="22" xfId="0" applyFont="1" applyFill="1" applyBorder="1" applyAlignment="1">
      <alignment horizontal="left"/>
    </xf>
    <xf numFmtId="49" fontId="22" fillId="0" borderId="17" xfId="0" applyNumberFormat="1" applyFont="1" applyFill="1" applyBorder="1"/>
    <xf numFmtId="0" fontId="22" fillId="0" borderId="21" xfId="0" applyFont="1" applyFill="1" applyBorder="1" applyAlignment="1">
      <alignment horizontal="center"/>
    </xf>
    <xf numFmtId="3" fontId="8" fillId="0" borderId="22" xfId="0" applyNumberFormat="1" applyFont="1" applyFill="1" applyBorder="1"/>
    <xf numFmtId="3" fontId="1" fillId="0" borderId="22" xfId="0" applyNumberFormat="1" applyFont="1" applyFill="1" applyBorder="1"/>
    <xf numFmtId="0" fontId="7" fillId="0" borderId="24" xfId="0" applyFont="1" applyFill="1" applyBorder="1"/>
    <xf numFmtId="0" fontId="3" fillId="0" borderId="15" xfId="0" applyFont="1" applyFill="1" applyBorder="1"/>
    <xf numFmtId="0" fontId="22" fillId="0" borderId="23" xfId="0" applyFont="1" applyFill="1" applyBorder="1"/>
    <xf numFmtId="49" fontId="1" fillId="0" borderId="21" xfId="0" applyNumberFormat="1" applyFont="1" applyFill="1" applyBorder="1" applyAlignment="1">
      <alignment horizontal="left"/>
    </xf>
    <xf numFmtId="0" fontId="8" fillId="0" borderId="23" xfId="0" applyFont="1" applyFill="1" applyBorder="1"/>
    <xf numFmtId="0" fontId="22" fillId="0" borderId="23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1" fillId="0" borderId="18" xfId="0" applyFont="1" applyFill="1" applyBorder="1"/>
    <xf numFmtId="0" fontId="8" fillId="0" borderId="21" xfId="0" applyFont="1" applyFill="1" applyBorder="1"/>
    <xf numFmtId="0" fontId="8" fillId="0" borderId="22" xfId="0" applyFont="1" applyFill="1" applyBorder="1"/>
    <xf numFmtId="0" fontId="1" fillId="0" borderId="11" xfId="0" applyFont="1" applyFill="1" applyBorder="1"/>
    <xf numFmtId="0" fontId="7" fillId="0" borderId="18" xfId="0" applyFont="1" applyFill="1" applyBorder="1"/>
    <xf numFmtId="0" fontId="12" fillId="0" borderId="13" xfId="0" applyFont="1" applyFill="1" applyBorder="1"/>
    <xf numFmtId="3" fontId="22" fillId="0" borderId="22" xfId="0" applyNumberFormat="1" applyFont="1" applyFill="1" applyBorder="1"/>
    <xf numFmtId="0" fontId="1" fillId="0" borderId="0" xfId="1" applyFont="1"/>
    <xf numFmtId="49" fontId="7" fillId="0" borderId="9" xfId="0" applyNumberFormat="1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49" fontId="22" fillId="0" borderId="16" xfId="0" applyNumberFormat="1" applyFont="1" applyFill="1" applyBorder="1" applyAlignment="1">
      <alignment horizontal="center"/>
    </xf>
    <xf numFmtId="0" fontId="1" fillId="0" borderId="12" xfId="0" applyFont="1" applyFill="1" applyBorder="1"/>
    <xf numFmtId="49" fontId="1" fillId="0" borderId="22" xfId="0" applyNumberFormat="1" applyFont="1" applyFill="1" applyBorder="1" applyAlignment="1">
      <alignment horizontal="left"/>
    </xf>
    <xf numFmtId="0" fontId="1" fillId="0" borderId="21" xfId="0" applyFont="1" applyFill="1" applyBorder="1" applyAlignment="1">
      <alignment horizontal="center"/>
    </xf>
    <xf numFmtId="0" fontId="8" fillId="0" borderId="11" xfId="0" applyFont="1" applyFill="1" applyBorder="1"/>
    <xf numFmtId="0" fontId="3" fillId="0" borderId="16" xfId="0" applyFont="1" applyFill="1" applyBorder="1"/>
    <xf numFmtId="0" fontId="1" fillId="0" borderId="0" xfId="2"/>
    <xf numFmtId="3" fontId="2" fillId="0" borderId="28" xfId="0" applyNumberFormat="1" applyFont="1" applyFill="1" applyBorder="1"/>
    <xf numFmtId="3" fontId="4" fillId="0" borderId="28" xfId="0" applyNumberFormat="1" applyFont="1" applyFill="1" applyBorder="1"/>
    <xf numFmtId="0" fontId="1" fillId="0" borderId="18" xfId="2" applyFont="1" applyFill="1" applyBorder="1"/>
    <xf numFmtId="0" fontId="1" fillId="0" borderId="22" xfId="2" applyBorder="1"/>
    <xf numFmtId="0" fontId="1" fillId="0" borderId="23" xfId="2" applyBorder="1"/>
    <xf numFmtId="0" fontId="1" fillId="0" borderId="22" xfId="2" applyFill="1" applyBorder="1"/>
    <xf numFmtId="0" fontId="1" fillId="0" borderId="23" xfId="2" applyFill="1" applyBorder="1"/>
    <xf numFmtId="49" fontId="8" fillId="0" borderId="48" xfId="2" applyNumberFormat="1" applyFont="1" applyFill="1" applyBorder="1" applyAlignment="1">
      <alignment horizontal="center"/>
    </xf>
    <xf numFmtId="0" fontId="8" fillId="0" borderId="22" xfId="2" applyFont="1" applyFill="1" applyBorder="1" applyAlignment="1">
      <alignment horizontal="left"/>
    </xf>
    <xf numFmtId="0" fontId="3" fillId="0" borderId="15" xfId="2" applyFont="1" applyFill="1" applyBorder="1" applyAlignment="1">
      <alignment horizontal="left"/>
    </xf>
    <xf numFmtId="0" fontId="23" fillId="0" borderId="22" xfId="2" applyFont="1" applyFill="1" applyBorder="1"/>
    <xf numFmtId="0" fontId="8" fillId="0" borderId="15" xfId="2" applyFont="1" applyFill="1" applyBorder="1" applyAlignment="1">
      <alignment horizontal="left"/>
    </xf>
    <xf numFmtId="0" fontId="23" fillId="0" borderId="25" xfId="2" applyFont="1" applyFill="1" applyBorder="1"/>
    <xf numFmtId="0" fontId="1" fillId="0" borderId="22" xfId="2" applyFont="1" applyFill="1" applyBorder="1"/>
    <xf numFmtId="0" fontId="22" fillId="0" borderId="19" xfId="0" applyFont="1" applyFill="1" applyBorder="1"/>
    <xf numFmtId="0" fontId="1" fillId="0" borderId="0" xfId="2" applyBorder="1"/>
    <xf numFmtId="3" fontId="8" fillId="0" borderId="23" xfId="2" applyNumberFormat="1" applyFont="1" applyFill="1" applyBorder="1"/>
    <xf numFmtId="3" fontId="1" fillId="0" borderId="23" xfId="2" applyNumberFormat="1" applyFill="1" applyBorder="1"/>
    <xf numFmtId="3" fontId="8" fillId="0" borderId="22" xfId="2" applyNumberFormat="1" applyFont="1" applyFill="1" applyBorder="1"/>
    <xf numFmtId="3" fontId="1" fillId="0" borderId="22" xfId="2" applyNumberFormat="1" applyBorder="1"/>
    <xf numFmtId="3" fontId="1" fillId="0" borderId="22" xfId="2" applyNumberFormat="1" applyFill="1" applyBorder="1"/>
    <xf numFmtId="3" fontId="15" fillId="0" borderId="22" xfId="0" applyNumberFormat="1" applyFont="1" applyFill="1" applyBorder="1"/>
    <xf numFmtId="3" fontId="25" fillId="0" borderId="22" xfId="0" applyNumberFormat="1" applyFont="1" applyBorder="1"/>
    <xf numFmtId="0" fontId="4" fillId="0" borderId="47" xfId="0" applyFont="1" applyBorder="1"/>
    <xf numFmtId="49" fontId="4" fillId="0" borderId="18" xfId="0" applyNumberFormat="1" applyFont="1" applyBorder="1"/>
    <xf numFmtId="49" fontId="1" fillId="0" borderId="22" xfId="2" applyNumberFormat="1" applyFont="1" applyFill="1" applyBorder="1"/>
    <xf numFmtId="49" fontId="7" fillId="0" borderId="9" xfId="2" applyNumberFormat="1" applyFont="1" applyFill="1" applyBorder="1" applyAlignment="1">
      <alignment horizontal="center"/>
    </xf>
    <xf numFmtId="0" fontId="7" fillId="0" borderId="17" xfId="2" applyFont="1" applyFill="1" applyBorder="1" applyAlignment="1">
      <alignment horizontal="right"/>
    </xf>
    <xf numFmtId="0" fontId="3" fillId="0" borderId="31" xfId="2" applyFont="1" applyFill="1" applyBorder="1"/>
    <xf numFmtId="0" fontId="3" fillId="0" borderId="22" xfId="2" applyFont="1" applyFill="1" applyBorder="1"/>
    <xf numFmtId="0" fontId="3" fillId="0" borderId="20" xfId="2" applyFont="1" applyFill="1" applyBorder="1"/>
    <xf numFmtId="49" fontId="3" fillId="0" borderId="12" xfId="2" applyNumberFormat="1" applyFont="1" applyFill="1" applyBorder="1" applyAlignment="1">
      <alignment horizontal="center"/>
    </xf>
    <xf numFmtId="0" fontId="1" fillId="0" borderId="14" xfId="2" applyFont="1" applyFill="1" applyBorder="1"/>
    <xf numFmtId="0" fontId="3" fillId="0" borderId="16" xfId="2" applyFont="1" applyFill="1" applyBorder="1" applyAlignment="1"/>
    <xf numFmtId="49" fontId="3" fillId="0" borderId="15" xfId="2" applyNumberFormat="1" applyFont="1" applyFill="1" applyBorder="1" applyAlignment="1">
      <alignment horizontal="center"/>
    </xf>
    <xf numFmtId="0" fontId="3" fillId="0" borderId="15" xfId="2" applyFont="1" applyFill="1" applyBorder="1"/>
    <xf numFmtId="0" fontId="4" fillId="0" borderId="38" xfId="2" applyFont="1" applyFill="1" applyBorder="1"/>
    <xf numFmtId="0" fontId="1" fillId="0" borderId="16" xfId="0" applyFont="1" applyFill="1" applyBorder="1"/>
    <xf numFmtId="0" fontId="22" fillId="0" borderId="15" xfId="0" applyFont="1" applyFill="1" applyBorder="1" applyAlignment="1">
      <alignment horizontal="center"/>
    </xf>
    <xf numFmtId="0" fontId="1" fillId="0" borderId="15" xfId="2" applyBorder="1"/>
    <xf numFmtId="49" fontId="8" fillId="0" borderId="12" xfId="2" applyNumberFormat="1" applyFont="1" applyFill="1" applyBorder="1" applyAlignment="1">
      <alignment horizontal="center"/>
    </xf>
    <xf numFmtId="0" fontId="1" fillId="0" borderId="12" xfId="2" applyFont="1" applyFill="1" applyBorder="1"/>
    <xf numFmtId="3" fontId="8" fillId="0" borderId="22" xfId="2" applyNumberFormat="1" applyFont="1" applyBorder="1"/>
    <xf numFmtId="3" fontId="7" fillId="0" borderId="22" xfId="2" applyNumberFormat="1" applyFont="1" applyFill="1" applyBorder="1" applyAlignment="1">
      <alignment horizontal="right"/>
    </xf>
    <xf numFmtId="3" fontId="1" fillId="0" borderId="15" xfId="2" applyNumberFormat="1" applyFill="1" applyBorder="1"/>
    <xf numFmtId="3" fontId="4" fillId="0" borderId="28" xfId="2" applyNumberFormat="1" applyFont="1" applyFill="1" applyBorder="1"/>
    <xf numFmtId="49" fontId="8" fillId="0" borderId="9" xfId="2" applyNumberFormat="1" applyFont="1" applyFill="1" applyBorder="1" applyAlignment="1">
      <alignment horizontal="center"/>
    </xf>
    <xf numFmtId="0" fontId="8" fillId="0" borderId="18" xfId="2" applyFont="1" applyFill="1" applyBorder="1"/>
    <xf numFmtId="49" fontId="3" fillId="0" borderId="22" xfId="2" applyNumberFormat="1" applyFont="1" applyFill="1" applyBorder="1" applyAlignment="1">
      <alignment horizontal="left"/>
    </xf>
    <xf numFmtId="0" fontId="3" fillId="0" borderId="22" xfId="2" applyFont="1" applyFill="1" applyBorder="1" applyAlignment="1">
      <alignment horizontal="left"/>
    </xf>
    <xf numFmtId="0" fontId="3" fillId="0" borderId="23" xfId="2" applyFont="1" applyFill="1" applyBorder="1"/>
    <xf numFmtId="49" fontId="3" fillId="0" borderId="9" xfId="2" applyNumberFormat="1" applyFont="1" applyFill="1" applyBorder="1" applyAlignment="1">
      <alignment horizontal="center"/>
    </xf>
    <xf numFmtId="49" fontId="3" fillId="0" borderId="17" xfId="2" applyNumberFormat="1" applyFont="1" applyFill="1" applyBorder="1" applyAlignment="1">
      <alignment horizontal="left"/>
    </xf>
    <xf numFmtId="0" fontId="3" fillId="0" borderId="11" xfId="2" applyFont="1" applyFill="1" applyBorder="1" applyAlignment="1">
      <alignment horizontal="left"/>
    </xf>
    <xf numFmtId="49" fontId="7" fillId="0" borderId="12" xfId="2" applyNumberFormat="1" applyFont="1" applyFill="1" applyBorder="1" applyAlignment="1">
      <alignment horizontal="center"/>
    </xf>
    <xf numFmtId="0" fontId="7" fillId="0" borderId="18" xfId="2" applyFont="1" applyFill="1" applyBorder="1"/>
    <xf numFmtId="0" fontId="3" fillId="0" borderId="21" xfId="2" applyFont="1" applyFill="1" applyBorder="1"/>
    <xf numFmtId="0" fontId="7" fillId="0" borderId="23" xfId="2" applyFont="1" applyFill="1" applyBorder="1"/>
    <xf numFmtId="49" fontId="26" fillId="0" borderId="22" xfId="2" applyNumberFormat="1" applyFont="1" applyFill="1" applyBorder="1" applyAlignment="1">
      <alignment horizontal="center"/>
    </xf>
    <xf numFmtId="0" fontId="4" fillId="0" borderId="40" xfId="2" applyFont="1" applyFill="1" applyBorder="1"/>
    <xf numFmtId="49" fontId="7" fillId="0" borderId="16" xfId="2" applyNumberFormat="1" applyFont="1" applyFill="1" applyBorder="1" applyAlignment="1">
      <alignment horizontal="center"/>
    </xf>
    <xf numFmtId="49" fontId="7" fillId="0" borderId="15" xfId="2" applyNumberFormat="1" applyFont="1" applyFill="1" applyBorder="1" applyAlignment="1">
      <alignment horizontal="left"/>
    </xf>
    <xf numFmtId="0" fontId="7" fillId="0" borderId="15" xfId="2" applyFont="1" applyFill="1" applyBorder="1" applyAlignment="1">
      <alignment horizontal="left"/>
    </xf>
    <xf numFmtId="0" fontId="3" fillId="0" borderId="13" xfId="2" applyFont="1" applyFill="1" applyBorder="1"/>
    <xf numFmtId="3" fontId="2" fillId="0" borderId="28" xfId="2" applyNumberFormat="1" applyFont="1" applyFill="1" applyBorder="1"/>
    <xf numFmtId="49" fontId="4" fillId="0" borderId="12" xfId="2" applyNumberFormat="1" applyFont="1" applyFill="1" applyBorder="1" applyAlignment="1">
      <alignment horizontal="left"/>
    </xf>
    <xf numFmtId="0" fontId="4" fillId="0" borderId="22" xfId="2" applyFont="1" applyFill="1" applyBorder="1" applyAlignment="1">
      <alignment horizontal="center"/>
    </xf>
    <xf numFmtId="0" fontId="3" fillId="0" borderId="17" xfId="2" applyFont="1" applyFill="1" applyBorder="1"/>
    <xf numFmtId="49" fontId="4" fillId="0" borderId="4" xfId="2" applyNumberFormat="1" applyFont="1" applyFill="1" applyBorder="1" applyAlignment="1">
      <alignment horizontal="left"/>
    </xf>
    <xf numFmtId="0" fontId="4" fillId="0" borderId="5" xfId="2" applyFont="1" applyFill="1" applyBorder="1" applyAlignment="1">
      <alignment horizontal="center"/>
    </xf>
    <xf numFmtId="0" fontId="3" fillId="0" borderId="5" xfId="2" applyFont="1" applyFill="1" applyBorder="1"/>
    <xf numFmtId="0" fontId="3" fillId="0" borderId="25" xfId="2" applyFont="1" applyFill="1" applyBorder="1"/>
    <xf numFmtId="49" fontId="4" fillId="0" borderId="9" xfId="2" applyNumberFormat="1" applyFont="1" applyFill="1" applyBorder="1" applyAlignment="1">
      <alignment horizontal="left"/>
    </xf>
    <xf numFmtId="0" fontId="4" fillId="0" borderId="17" xfId="2" applyFont="1" applyFill="1" applyBorder="1" applyAlignment="1">
      <alignment horizontal="center"/>
    </xf>
    <xf numFmtId="0" fontId="3" fillId="0" borderId="11" xfId="2" applyFont="1" applyFill="1" applyBorder="1"/>
    <xf numFmtId="0" fontId="7" fillId="0" borderId="22" xfId="2" applyFont="1" applyFill="1" applyBorder="1"/>
    <xf numFmtId="0" fontId="3" fillId="0" borderId="8" xfId="2" applyFont="1" applyFill="1" applyBorder="1"/>
    <xf numFmtId="0" fontId="4" fillId="0" borderId="28" xfId="2" applyFont="1" applyFill="1" applyBorder="1"/>
    <xf numFmtId="0" fontId="4" fillId="0" borderId="0" xfId="2" applyFont="1" applyFill="1" applyBorder="1" applyAlignment="1"/>
    <xf numFmtId="0" fontId="4" fillId="0" borderId="0" xfId="2" applyFont="1" applyFill="1" applyBorder="1"/>
    <xf numFmtId="3" fontId="4" fillId="0" borderId="0" xfId="2" applyNumberFormat="1" applyFont="1" applyFill="1" applyBorder="1"/>
    <xf numFmtId="3" fontId="7" fillId="0" borderId="22" xfId="2" applyNumberFormat="1" applyFont="1" applyFill="1" applyBorder="1"/>
    <xf numFmtId="0" fontId="1" fillId="0" borderId="5" xfId="2" applyBorder="1"/>
    <xf numFmtId="1" fontId="7" fillId="0" borderId="22" xfId="2" applyNumberFormat="1" applyFont="1" applyFill="1" applyBorder="1"/>
    <xf numFmtId="49" fontId="7" fillId="0" borderId="31" xfId="2" applyNumberFormat="1" applyFont="1" applyFill="1" applyBorder="1" applyAlignment="1">
      <alignment horizontal="center"/>
    </xf>
    <xf numFmtId="49" fontId="7" fillId="0" borderId="5" xfId="2" applyNumberFormat="1" applyFont="1" applyFill="1" applyBorder="1" applyAlignment="1">
      <alignment horizontal="left"/>
    </xf>
    <xf numFmtId="0" fontId="7" fillId="0" borderId="19" xfId="2" applyFont="1" applyFill="1" applyBorder="1"/>
    <xf numFmtId="49" fontId="4" fillId="0" borderId="17" xfId="2" applyNumberFormat="1" applyFont="1" applyFill="1" applyBorder="1"/>
    <xf numFmtId="3" fontId="7" fillId="0" borderId="17" xfId="2" applyNumberFormat="1" applyFont="1" applyFill="1" applyBorder="1"/>
    <xf numFmtId="0" fontId="7" fillId="0" borderId="22" xfId="0" applyFont="1" applyFill="1" applyBorder="1" applyAlignment="1"/>
    <xf numFmtId="3" fontId="0" fillId="0" borderId="22" xfId="0" applyNumberFormat="1" applyFill="1" applyBorder="1"/>
    <xf numFmtId="3" fontId="22" fillId="0" borderId="15" xfId="0" applyNumberFormat="1" applyFont="1" applyFill="1" applyBorder="1"/>
    <xf numFmtId="49" fontId="3" fillId="0" borderId="22" xfId="2" applyNumberFormat="1" applyFont="1" applyFill="1" applyBorder="1"/>
    <xf numFmtId="49" fontId="3" fillId="0" borderId="22" xfId="2" applyNumberFormat="1" applyFont="1" applyFill="1" applyBorder="1" applyAlignment="1">
      <alignment horizontal="center"/>
    </xf>
    <xf numFmtId="49" fontId="7" fillId="0" borderId="22" xfId="2" applyNumberFormat="1" applyFont="1" applyFill="1" applyBorder="1" applyAlignment="1">
      <alignment horizontal="left"/>
    </xf>
    <xf numFmtId="0" fontId="12" fillId="0" borderId="22" xfId="2" applyFont="1" applyFill="1" applyBorder="1" applyAlignment="1">
      <alignment horizontal="left"/>
    </xf>
    <xf numFmtId="49" fontId="7" fillId="0" borderId="17" xfId="2" applyNumberFormat="1" applyFont="1" applyFill="1" applyBorder="1" applyAlignment="1">
      <alignment horizontal="left"/>
    </xf>
    <xf numFmtId="0" fontId="7" fillId="0" borderId="17" xfId="2" applyFont="1" applyFill="1" applyBorder="1" applyAlignment="1">
      <alignment horizontal="left"/>
    </xf>
    <xf numFmtId="49" fontId="3" fillId="0" borderId="16" xfId="2" applyNumberFormat="1" applyFont="1" applyFill="1" applyBorder="1" applyAlignment="1">
      <alignment horizontal="center"/>
    </xf>
    <xf numFmtId="49" fontId="3" fillId="0" borderId="15" xfId="2" applyNumberFormat="1" applyFont="1" applyFill="1" applyBorder="1" applyAlignment="1">
      <alignment horizontal="left"/>
    </xf>
    <xf numFmtId="0" fontId="3" fillId="0" borderId="22" xfId="2" applyFont="1" applyFill="1" applyBorder="1" applyAlignment="1">
      <alignment horizontal="center"/>
    </xf>
    <xf numFmtId="0" fontId="7" fillId="0" borderId="22" xfId="2" applyFont="1" applyFill="1" applyBorder="1" applyAlignment="1">
      <alignment horizontal="left"/>
    </xf>
    <xf numFmtId="0" fontId="3" fillId="0" borderId="17" xfId="1" applyFont="1" applyFill="1" applyBorder="1" applyAlignment="1"/>
    <xf numFmtId="0" fontId="4" fillId="0" borderId="9" xfId="1" applyFont="1" applyFill="1" applyBorder="1" applyAlignment="1">
      <alignment horizontal="left"/>
    </xf>
    <xf numFmtId="49" fontId="3" fillId="0" borderId="24" xfId="2" applyNumberFormat="1" applyFont="1" applyFill="1" applyBorder="1" applyAlignment="1">
      <alignment horizontal="center"/>
    </xf>
    <xf numFmtId="49" fontId="3" fillId="0" borderId="21" xfId="2" applyNumberFormat="1" applyFont="1" applyFill="1" applyBorder="1" applyAlignment="1">
      <alignment horizontal="center"/>
    </xf>
    <xf numFmtId="0" fontId="3" fillId="0" borderId="22" xfId="2" applyNumberFormat="1" applyFont="1" applyFill="1" applyBorder="1" applyAlignment="1">
      <alignment horizontal="left"/>
    </xf>
    <xf numFmtId="0" fontId="7" fillId="0" borderId="13" xfId="2" applyFont="1" applyFill="1" applyBorder="1" applyAlignment="1">
      <alignment horizontal="left"/>
    </xf>
    <xf numFmtId="0" fontId="3" fillId="0" borderId="23" xfId="2" applyNumberFormat="1" applyFont="1" applyFill="1" applyBorder="1" applyAlignment="1">
      <alignment horizontal="left" shrinkToFit="1"/>
    </xf>
    <xf numFmtId="0" fontId="3" fillId="0" borderId="23" xfId="2" applyNumberFormat="1" applyFont="1" applyFill="1" applyBorder="1" applyAlignment="1">
      <alignment horizontal="left"/>
    </xf>
    <xf numFmtId="49" fontId="3" fillId="0" borderId="23" xfId="2" applyNumberFormat="1" applyFont="1" applyFill="1" applyBorder="1" applyAlignment="1">
      <alignment horizontal="left"/>
    </xf>
    <xf numFmtId="49" fontId="4" fillId="0" borderId="22" xfId="2" applyNumberFormat="1" applyFont="1" applyFill="1" applyBorder="1"/>
    <xf numFmtId="3" fontId="22" fillId="0" borderId="22" xfId="2" applyNumberFormat="1" applyFont="1" applyFill="1" applyBorder="1"/>
    <xf numFmtId="0" fontId="3" fillId="0" borderId="12" xfId="2" applyFont="1" applyFill="1" applyBorder="1" applyAlignment="1">
      <alignment horizontal="center"/>
    </xf>
    <xf numFmtId="49" fontId="3" fillId="0" borderId="21" xfId="2" applyNumberFormat="1" applyFont="1" applyFill="1" applyBorder="1" applyAlignment="1" applyProtection="1">
      <alignment horizontal="center"/>
      <protection locked="0"/>
    </xf>
    <xf numFmtId="0" fontId="13" fillId="0" borderId="10" xfId="2" applyFont="1" applyFill="1" applyBorder="1"/>
    <xf numFmtId="0" fontId="12" fillId="0" borderId="14" xfId="2" applyFont="1" applyFill="1" applyBorder="1"/>
    <xf numFmtId="49" fontId="7" fillId="0" borderId="48" xfId="2" applyNumberFormat="1" applyFont="1" applyFill="1" applyBorder="1" applyAlignment="1">
      <alignment horizontal="center"/>
    </xf>
    <xf numFmtId="49" fontId="7" fillId="0" borderId="15" xfId="2" applyNumberFormat="1" applyFont="1" applyFill="1" applyBorder="1" applyAlignment="1" applyProtection="1">
      <alignment horizontal="center"/>
      <protection locked="0"/>
    </xf>
    <xf numFmtId="0" fontId="3" fillId="0" borderId="9" xfId="2" applyFont="1" applyFill="1" applyBorder="1" applyAlignment="1">
      <alignment horizontal="center"/>
    </xf>
    <xf numFmtId="0" fontId="3" fillId="0" borderId="11" xfId="2" applyFont="1" applyFill="1" applyBorder="1" applyAlignment="1" applyProtection="1">
      <alignment horizontal="center"/>
      <protection locked="0"/>
    </xf>
    <xf numFmtId="0" fontId="21" fillId="0" borderId="11" xfId="2" applyFont="1" applyFill="1" applyBorder="1"/>
    <xf numFmtId="49" fontId="7" fillId="0" borderId="8" xfId="1" applyNumberFormat="1" applyFont="1" applyBorder="1" applyAlignment="1">
      <alignment horizontal="center"/>
    </xf>
    <xf numFmtId="49" fontId="7" fillId="0" borderId="20" xfId="2" applyNumberFormat="1" applyFont="1" applyFill="1" applyBorder="1" applyAlignment="1">
      <alignment horizontal="left"/>
    </xf>
    <xf numFmtId="49" fontId="3" fillId="0" borderId="21" xfId="2" applyNumberFormat="1" applyFont="1" applyFill="1" applyBorder="1" applyAlignment="1">
      <alignment horizontal="left"/>
    </xf>
    <xf numFmtId="49" fontId="3" fillId="0" borderId="5" xfId="2" applyNumberFormat="1" applyFont="1" applyFill="1" applyBorder="1" applyAlignment="1">
      <alignment horizontal="center"/>
    </xf>
    <xf numFmtId="49" fontId="3" fillId="0" borderId="19" xfId="2" applyNumberFormat="1" applyFont="1" applyFill="1" applyBorder="1" applyAlignment="1">
      <alignment horizontal="left"/>
    </xf>
    <xf numFmtId="49" fontId="3" fillId="0" borderId="4" xfId="2" applyNumberFormat="1" applyFont="1" applyFill="1" applyBorder="1" applyAlignment="1">
      <alignment horizontal="center"/>
    </xf>
    <xf numFmtId="0" fontId="7" fillId="0" borderId="19" xfId="2" applyFont="1" applyFill="1" applyBorder="1" applyAlignment="1">
      <alignment horizontal="left"/>
    </xf>
    <xf numFmtId="0" fontId="3" fillId="0" borderId="12" xfId="2" applyFont="1" applyFill="1" applyBorder="1" applyAlignment="1"/>
    <xf numFmtId="0" fontId="8" fillId="0" borderId="24" xfId="2" applyFont="1" applyFill="1" applyBorder="1" applyAlignment="1">
      <alignment horizontal="left"/>
    </xf>
    <xf numFmtId="0" fontId="3" fillId="0" borderId="4" xfId="2" applyFont="1" applyFill="1" applyBorder="1" applyAlignment="1"/>
    <xf numFmtId="49" fontId="3" fillId="0" borderId="19" xfId="2" applyNumberFormat="1" applyFont="1" applyFill="1" applyBorder="1" applyAlignment="1">
      <alignment horizontal="center"/>
    </xf>
    <xf numFmtId="0" fontId="1" fillId="0" borderId="15" xfId="2" applyFill="1" applyBorder="1"/>
    <xf numFmtId="0" fontId="1" fillId="0" borderId="13" xfId="2" applyFill="1" applyBorder="1"/>
    <xf numFmtId="3" fontId="8" fillId="0" borderId="15" xfId="2" applyNumberFormat="1" applyFont="1" applyFill="1" applyBorder="1"/>
    <xf numFmtId="0" fontId="16" fillId="0" borderId="17" xfId="0" applyFont="1" applyBorder="1"/>
    <xf numFmtId="0" fontId="14" fillId="0" borderId="47" xfId="0" applyFont="1" applyFill="1" applyBorder="1" applyAlignment="1"/>
    <xf numFmtId="0" fontId="14" fillId="0" borderId="10" xfId="0" applyFont="1" applyFill="1" applyBorder="1" applyAlignment="1"/>
    <xf numFmtId="0" fontId="14" fillId="0" borderId="11" xfId="0" applyFont="1" applyFill="1" applyBorder="1" applyAlignment="1"/>
    <xf numFmtId="49" fontId="19" fillId="0" borderId="17" xfId="0" applyNumberFormat="1" applyFont="1" applyFill="1" applyBorder="1"/>
    <xf numFmtId="49" fontId="3" fillId="0" borderId="41" xfId="2" applyNumberFormat="1" applyFont="1" applyFill="1" applyBorder="1" applyAlignment="1">
      <alignment horizontal="center"/>
    </xf>
    <xf numFmtId="0" fontId="2" fillId="0" borderId="9" xfId="2" applyFont="1" applyFill="1" applyBorder="1" applyAlignment="1">
      <alignment horizontal="left"/>
    </xf>
    <xf numFmtId="0" fontId="2" fillId="0" borderId="10" xfId="2" applyFont="1" applyFill="1" applyBorder="1" applyAlignment="1">
      <alignment horizontal="center"/>
    </xf>
    <xf numFmtId="0" fontId="1" fillId="0" borderId="19" xfId="2" applyFont="1" applyFill="1" applyBorder="1"/>
    <xf numFmtId="0" fontId="1" fillId="0" borderId="21" xfId="2" applyFont="1" applyFill="1" applyBorder="1"/>
    <xf numFmtId="49" fontId="1" fillId="0" borderId="12" xfId="2" applyNumberFormat="1" applyFont="1" applyFill="1" applyBorder="1" applyAlignment="1">
      <alignment horizontal="center"/>
    </xf>
    <xf numFmtId="0" fontId="8" fillId="0" borderId="12" xfId="2" applyFont="1" applyFill="1" applyBorder="1"/>
    <xf numFmtId="49" fontId="1" fillId="0" borderId="21" xfId="2" applyNumberFormat="1" applyFont="1" applyFill="1" applyBorder="1" applyAlignment="1">
      <alignment horizontal="center"/>
    </xf>
    <xf numFmtId="49" fontId="1" fillId="0" borderId="24" xfId="2" applyNumberFormat="1" applyFont="1" applyFill="1" applyBorder="1" applyAlignment="1">
      <alignment horizontal="center"/>
    </xf>
    <xf numFmtId="49" fontId="8" fillId="0" borderId="16" xfId="2" applyNumberFormat="1" applyFont="1" applyFill="1" applyBorder="1" applyAlignment="1">
      <alignment horizontal="center"/>
    </xf>
    <xf numFmtId="49" fontId="2" fillId="0" borderId="26" xfId="2" applyNumberFormat="1" applyFont="1" applyFill="1" applyBorder="1" applyAlignment="1">
      <alignment horizontal="left"/>
    </xf>
    <xf numFmtId="0" fontId="2" fillId="0" borderId="27" xfId="2" applyFont="1" applyFill="1" applyBorder="1"/>
    <xf numFmtId="0" fontId="2" fillId="0" borderId="28" xfId="2" applyFont="1" applyFill="1" applyBorder="1"/>
    <xf numFmtId="3" fontId="8" fillId="0" borderId="23" xfId="2" applyNumberFormat="1" applyFont="1" applyFill="1" applyBorder="1" applyAlignment="1">
      <alignment horizontal="right"/>
    </xf>
    <xf numFmtId="3" fontId="2" fillId="0" borderId="40" xfId="2" applyNumberFormat="1" applyFont="1" applyFill="1" applyBorder="1"/>
    <xf numFmtId="0" fontId="0" fillId="2" borderId="0" xfId="0" applyFill="1"/>
    <xf numFmtId="49" fontId="19" fillId="0" borderId="24" xfId="2" applyNumberFormat="1" applyFont="1" applyFill="1" applyBorder="1" applyAlignment="1" applyProtection="1">
      <alignment horizontal="center"/>
      <protection locked="0"/>
    </xf>
    <xf numFmtId="49" fontId="19" fillId="0" borderId="11" xfId="2" applyNumberFormat="1" applyFont="1" applyFill="1" applyBorder="1" applyAlignment="1" applyProtection="1">
      <alignment horizontal="center"/>
      <protection locked="0"/>
    </xf>
    <xf numFmtId="49" fontId="19" fillId="0" borderId="15" xfId="2" applyNumberFormat="1" applyFont="1" applyFill="1" applyBorder="1" applyAlignment="1">
      <alignment horizontal="left"/>
    </xf>
    <xf numFmtId="0" fontId="19" fillId="0" borderId="14" xfId="2" applyFont="1" applyFill="1" applyBorder="1"/>
    <xf numFmtId="0" fontId="8" fillId="0" borderId="16" xfId="2" applyFont="1" applyFill="1" applyBorder="1" applyAlignment="1">
      <alignment horizontal="center"/>
    </xf>
    <xf numFmtId="49" fontId="10" fillId="0" borderId="11" xfId="2" applyNumberFormat="1" applyFont="1" applyFill="1" applyBorder="1" applyAlignment="1" applyProtection="1">
      <alignment horizontal="center"/>
      <protection locked="0"/>
    </xf>
    <xf numFmtId="0" fontId="10" fillId="0" borderId="17" xfId="2" applyNumberFormat="1" applyFont="1" applyFill="1" applyBorder="1" applyAlignment="1">
      <alignment horizontal="left"/>
    </xf>
    <xf numFmtId="0" fontId="8" fillId="0" borderId="9" xfId="2" applyFont="1" applyFill="1" applyBorder="1" applyAlignment="1">
      <alignment horizontal="center"/>
    </xf>
    <xf numFmtId="0" fontId="19" fillId="0" borderId="15" xfId="2" applyFont="1" applyFill="1" applyBorder="1"/>
    <xf numFmtId="0" fontId="19" fillId="0" borderId="17" xfId="2" applyFont="1" applyFill="1" applyBorder="1"/>
    <xf numFmtId="49" fontId="8" fillId="0" borderId="4" xfId="2" applyNumberFormat="1" applyFont="1" applyFill="1" applyBorder="1" applyAlignment="1">
      <alignment horizontal="center"/>
    </xf>
    <xf numFmtId="49" fontId="19" fillId="0" borderId="19" xfId="2" applyNumberFormat="1" applyFont="1" applyFill="1" applyBorder="1" applyAlignment="1" applyProtection="1">
      <alignment horizontal="center"/>
      <protection locked="0"/>
    </xf>
    <xf numFmtId="0" fontId="19" fillId="0" borderId="5" xfId="2" applyFont="1" applyFill="1" applyBorder="1" applyAlignment="1">
      <alignment horizontal="left"/>
    </xf>
    <xf numFmtId="0" fontId="10" fillId="0" borderId="17" xfId="2" applyFont="1" applyFill="1" applyBorder="1" applyAlignment="1">
      <alignment horizontal="left"/>
    </xf>
    <xf numFmtId="49" fontId="3" fillId="0" borderId="17" xfId="2" applyNumberFormat="1" applyFont="1" applyFill="1" applyBorder="1" applyAlignment="1">
      <alignment horizontal="center"/>
    </xf>
    <xf numFmtId="3" fontId="1" fillId="0" borderId="17" xfId="2" applyNumberFormat="1" applyFill="1" applyBorder="1"/>
    <xf numFmtId="3" fontId="1" fillId="0" borderId="22" xfId="2" applyNumberFormat="1" applyFont="1" applyFill="1" applyBorder="1"/>
    <xf numFmtId="3" fontId="1" fillId="0" borderId="22" xfId="2" applyNumberFormat="1" applyFont="1" applyBorder="1"/>
    <xf numFmtId="0" fontId="3" fillId="0" borderId="5" xfId="2" applyFont="1" applyFill="1" applyBorder="1" applyAlignment="1">
      <alignment horizontal="left"/>
    </xf>
    <xf numFmtId="0" fontId="3" fillId="0" borderId="17" xfId="2" applyFont="1" applyFill="1" applyBorder="1" applyAlignment="1">
      <alignment horizontal="left"/>
    </xf>
    <xf numFmtId="0" fontId="22" fillId="0" borderId="18" xfId="2" applyFont="1" applyFill="1" applyBorder="1"/>
    <xf numFmtId="0" fontId="8" fillId="0" borderId="22" xfId="2" applyFont="1" applyFill="1" applyBorder="1"/>
    <xf numFmtId="49" fontId="3" fillId="0" borderId="18" xfId="2" applyNumberFormat="1" applyFont="1" applyFill="1" applyBorder="1" applyAlignment="1">
      <alignment horizontal="left"/>
    </xf>
    <xf numFmtId="0" fontId="1" fillId="0" borderId="17" xfId="2" applyFill="1" applyBorder="1"/>
    <xf numFmtId="49" fontId="22" fillId="0" borderId="19" xfId="2" applyNumberFormat="1" applyFont="1" applyFill="1" applyBorder="1" applyAlignment="1">
      <alignment horizontal="left"/>
    </xf>
    <xf numFmtId="49" fontId="22" fillId="0" borderId="21" xfId="2" applyNumberFormat="1" applyFont="1" applyFill="1" applyBorder="1" applyAlignment="1">
      <alignment horizontal="left"/>
    </xf>
    <xf numFmtId="0" fontId="12" fillId="0" borderId="25" xfId="2" applyFont="1" applyFill="1" applyBorder="1"/>
    <xf numFmtId="3" fontId="22" fillId="0" borderId="15" xfId="2" applyNumberFormat="1" applyFont="1" applyFill="1" applyBorder="1"/>
    <xf numFmtId="49" fontId="12" fillId="0" borderId="19" xfId="2" applyNumberFormat="1" applyFont="1" applyFill="1" applyBorder="1" applyAlignment="1">
      <alignment horizontal="left"/>
    </xf>
    <xf numFmtId="3" fontId="22" fillId="0" borderId="17" xfId="2" applyNumberFormat="1" applyFont="1" applyFill="1" applyBorder="1"/>
    <xf numFmtId="49" fontId="12" fillId="0" borderId="21" xfId="2" applyNumberFormat="1" applyFont="1" applyFill="1" applyBorder="1" applyAlignment="1">
      <alignment horizontal="left"/>
    </xf>
    <xf numFmtId="0" fontId="12" fillId="0" borderId="22" xfId="2" applyFont="1" applyFill="1" applyBorder="1"/>
    <xf numFmtId="49" fontId="22" fillId="0" borderId="22" xfId="2" applyNumberFormat="1" applyFont="1" applyFill="1" applyBorder="1" applyAlignment="1">
      <alignment horizontal="center"/>
    </xf>
    <xf numFmtId="49" fontId="22" fillId="0" borderId="5" xfId="2" applyNumberFormat="1" applyFont="1" applyFill="1" applyBorder="1" applyAlignment="1">
      <alignment horizontal="center"/>
    </xf>
    <xf numFmtId="0" fontId="4" fillId="0" borderId="0" xfId="1" applyFont="1" applyBorder="1" applyAlignment="1"/>
    <xf numFmtId="0" fontId="1" fillId="0" borderId="23" xfId="2" applyFont="1" applyFill="1" applyBorder="1"/>
    <xf numFmtId="49" fontId="1" fillId="0" borderId="9" xfId="2" applyNumberFormat="1" applyFont="1" applyFill="1" applyBorder="1" applyAlignment="1">
      <alignment horizontal="center"/>
    </xf>
    <xf numFmtId="0" fontId="1" fillId="0" borderId="20" xfId="2" applyFont="1" applyFill="1" applyBorder="1"/>
    <xf numFmtId="0" fontId="1" fillId="0" borderId="11" xfId="2" applyFont="1" applyFill="1" applyBorder="1"/>
    <xf numFmtId="0" fontId="10" fillId="0" borderId="5" xfId="2" applyFont="1" applyFill="1" applyBorder="1" applyAlignment="1">
      <alignment horizontal="left"/>
    </xf>
    <xf numFmtId="0" fontId="13" fillId="0" borderId="0" xfId="2" applyFont="1" applyFill="1" applyBorder="1"/>
    <xf numFmtId="3" fontId="3" fillId="0" borderId="0" xfId="2" applyNumberFormat="1" applyFont="1" applyFill="1" applyBorder="1"/>
    <xf numFmtId="0" fontId="30" fillId="0" borderId="0" xfId="0" applyFont="1"/>
    <xf numFmtId="0" fontId="8" fillId="0" borderId="23" xfId="2" applyFont="1" applyBorder="1"/>
    <xf numFmtId="49" fontId="10" fillId="0" borderId="15" xfId="2" applyNumberFormat="1" applyFont="1" applyFill="1" applyBorder="1" applyAlignment="1" applyProtection="1">
      <alignment horizontal="center"/>
      <protection locked="0"/>
    </xf>
    <xf numFmtId="49" fontId="1" fillId="2" borderId="12" xfId="2" applyNumberFormat="1" applyFont="1" applyFill="1" applyBorder="1" applyAlignment="1">
      <alignment horizontal="center"/>
    </xf>
    <xf numFmtId="0" fontId="1" fillId="2" borderId="21" xfId="2" applyFont="1" applyFill="1" applyBorder="1"/>
    <xf numFmtId="0" fontId="1" fillId="2" borderId="22" xfId="2" applyFont="1" applyFill="1" applyBorder="1"/>
    <xf numFmtId="0" fontId="8" fillId="2" borderId="21" xfId="2" applyFont="1" applyFill="1" applyBorder="1"/>
    <xf numFmtId="0" fontId="32" fillId="0" borderId="0" xfId="0" applyFont="1"/>
    <xf numFmtId="0" fontId="0" fillId="0" borderId="0" xfId="0" applyFill="1" applyBorder="1"/>
    <xf numFmtId="49" fontId="3" fillId="2" borderId="12" xfId="2" applyNumberFormat="1" applyFont="1" applyFill="1" applyBorder="1" applyAlignment="1">
      <alignment horizontal="center"/>
    </xf>
    <xf numFmtId="0" fontId="3" fillId="2" borderId="22" xfId="2" applyFont="1" applyFill="1" applyBorder="1" applyAlignment="1">
      <alignment horizontal="left"/>
    </xf>
    <xf numFmtId="3" fontId="1" fillId="2" borderId="22" xfId="2" applyNumberFormat="1" applyFill="1" applyBorder="1"/>
    <xf numFmtId="49" fontId="7" fillId="0" borderId="9" xfId="1" applyNumberFormat="1" applyFont="1" applyFill="1" applyBorder="1" applyAlignment="1">
      <alignment horizontal="center"/>
    </xf>
    <xf numFmtId="3" fontId="22" fillId="2" borderId="22" xfId="0" applyNumberFormat="1" applyFont="1" applyFill="1" applyBorder="1"/>
    <xf numFmtId="0" fontId="0" fillId="0" borderId="0" xfId="0" applyBorder="1"/>
    <xf numFmtId="0" fontId="0" fillId="2" borderId="12" xfId="0" applyFill="1" applyBorder="1"/>
    <xf numFmtId="0" fontId="1" fillId="0" borderId="0" xfId="2" applyFont="1" applyFill="1" applyBorder="1" applyAlignment="1"/>
    <xf numFmtId="0" fontId="3" fillId="0" borderId="0" xfId="2" applyFont="1" applyFill="1" applyBorder="1" applyAlignment="1"/>
    <xf numFmtId="0" fontId="3" fillId="0" borderId="0" xfId="2" applyFont="1" applyFill="1" applyBorder="1"/>
    <xf numFmtId="0" fontId="8" fillId="0" borderId="17" xfId="0" applyFont="1" applyFill="1" applyBorder="1"/>
    <xf numFmtId="0" fontId="4" fillId="0" borderId="47" xfId="1" applyFont="1" applyFill="1" applyBorder="1" applyAlignment="1"/>
    <xf numFmtId="0" fontId="1" fillId="0" borderId="11" xfId="1" applyFill="1" applyBorder="1" applyAlignment="1"/>
    <xf numFmtId="0" fontId="1" fillId="0" borderId="17" xfId="1" applyFill="1" applyBorder="1" applyAlignment="1"/>
    <xf numFmtId="3" fontId="10" fillId="0" borderId="15" xfId="2" applyNumberFormat="1" applyFont="1" applyFill="1" applyBorder="1"/>
    <xf numFmtId="3" fontId="19" fillId="0" borderId="5" xfId="2" applyNumberFormat="1" applyFont="1" applyFill="1" applyBorder="1"/>
    <xf numFmtId="3" fontId="10" fillId="0" borderId="17" xfId="2" applyNumberFormat="1" applyFont="1" applyFill="1" applyBorder="1"/>
    <xf numFmtId="3" fontId="7" fillId="2" borderId="22" xfId="2" applyNumberFormat="1" applyFont="1" applyFill="1" applyBorder="1" applyAlignment="1">
      <alignment horizontal="right"/>
    </xf>
    <xf numFmtId="3" fontId="8" fillId="2" borderId="22" xfId="2" applyNumberFormat="1" applyFont="1" applyFill="1" applyBorder="1"/>
    <xf numFmtId="3" fontId="1" fillId="2" borderId="22" xfId="0" applyNumberFormat="1" applyFont="1" applyFill="1" applyBorder="1" applyAlignment="1">
      <alignment horizontal="right"/>
    </xf>
    <xf numFmtId="3" fontId="33" fillId="0" borderId="17" xfId="0" applyNumberFormat="1" applyFont="1" applyBorder="1"/>
    <xf numFmtId="3" fontId="1" fillId="2" borderId="22" xfId="2" applyNumberFormat="1" applyFont="1" applyFill="1" applyBorder="1"/>
    <xf numFmtId="0" fontId="15" fillId="0" borderId="17" xfId="0" applyFont="1" applyBorder="1"/>
    <xf numFmtId="3" fontId="19" fillId="0" borderId="22" xfId="2" applyNumberFormat="1" applyFont="1" applyFill="1" applyBorder="1"/>
    <xf numFmtId="3" fontId="15" fillId="0" borderId="22" xfId="0" applyNumberFormat="1" applyFont="1" applyBorder="1"/>
    <xf numFmtId="3" fontId="7" fillId="2" borderId="22" xfId="2" applyNumberFormat="1" applyFont="1" applyFill="1" applyBorder="1"/>
    <xf numFmtId="3" fontId="23" fillId="2" borderId="17" xfId="2" applyNumberFormat="1" applyFont="1" applyFill="1" applyBorder="1"/>
    <xf numFmtId="0" fontId="1" fillId="0" borderId="22" xfId="0" applyFont="1" applyBorder="1"/>
    <xf numFmtId="0" fontId="0" fillId="0" borderId="56" xfId="0" applyBorder="1"/>
    <xf numFmtId="3" fontId="8" fillId="2" borderId="22" xfId="0" applyNumberFormat="1" applyFont="1" applyFill="1" applyBorder="1"/>
    <xf numFmtId="0" fontId="12" fillId="0" borderId="22" xfId="2" applyNumberFormat="1" applyFont="1" applyFill="1" applyBorder="1" applyAlignment="1">
      <alignment horizontal="left"/>
    </xf>
    <xf numFmtId="0" fontId="12" fillId="0" borderId="20" xfId="2" applyFont="1" applyFill="1" applyBorder="1"/>
    <xf numFmtId="3" fontId="22" fillId="2" borderId="22" xfId="0" applyNumberFormat="1" applyFont="1" applyFill="1" applyBorder="1" applyAlignment="1">
      <alignment horizontal="right"/>
    </xf>
    <xf numFmtId="0" fontId="22" fillId="0" borderId="23" xfId="2" applyNumberFormat="1" applyFont="1" applyFill="1" applyBorder="1" applyAlignment="1">
      <alignment horizontal="left"/>
    </xf>
    <xf numFmtId="49" fontId="3" fillId="0" borderId="7" xfId="2" applyNumberFormat="1" applyFont="1" applyFill="1" applyBorder="1" applyAlignment="1">
      <alignment horizontal="center"/>
    </xf>
    <xf numFmtId="0" fontId="22" fillId="0" borderId="37" xfId="2" applyNumberFormat="1" applyFont="1" applyFill="1" applyBorder="1" applyAlignment="1">
      <alignment horizontal="left"/>
    </xf>
    <xf numFmtId="3" fontId="1" fillId="0" borderId="8" xfId="2" applyNumberFormat="1" applyFill="1" applyBorder="1"/>
    <xf numFmtId="0" fontId="0" fillId="0" borderId="0" xfId="0" applyAlignment="1">
      <alignment vertical="center"/>
    </xf>
    <xf numFmtId="3" fontId="20" fillId="0" borderId="22" xfId="0" applyNumberFormat="1" applyFont="1" applyBorder="1"/>
    <xf numFmtId="49" fontId="3" fillId="0" borderId="13" xfId="2" applyNumberFormat="1" applyFont="1" applyFill="1" applyBorder="1" applyAlignment="1">
      <alignment horizontal="center"/>
    </xf>
    <xf numFmtId="0" fontId="10" fillId="0" borderId="22" xfId="0" applyFont="1" applyBorder="1" applyAlignment="1">
      <alignment wrapText="1"/>
    </xf>
    <xf numFmtId="0" fontId="8" fillId="0" borderId="21" xfId="2" applyFont="1" applyFill="1" applyBorder="1" applyAlignment="1">
      <alignment horizontal="left"/>
    </xf>
    <xf numFmtId="0" fontId="3" fillId="0" borderId="16" xfId="2" applyFont="1" applyFill="1" applyBorder="1"/>
    <xf numFmtId="0" fontId="3" fillId="0" borderId="9" xfId="2" applyFont="1" applyFill="1" applyBorder="1"/>
    <xf numFmtId="0" fontId="3" fillId="0" borderId="56" xfId="2" applyFont="1" applyFill="1" applyBorder="1"/>
    <xf numFmtId="0" fontId="8" fillId="0" borderId="51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2" fontId="8" fillId="0" borderId="54" xfId="0" applyNumberFormat="1" applyFont="1" applyBorder="1"/>
    <xf numFmtId="2" fontId="1" fillId="0" borderId="54" xfId="0" applyNumberFormat="1" applyFont="1" applyBorder="1"/>
    <xf numFmtId="2" fontId="0" fillId="0" borderId="54" xfId="0" applyNumberFormat="1" applyBorder="1"/>
    <xf numFmtId="0" fontId="8" fillId="0" borderId="16" xfId="2" applyFont="1" applyFill="1" applyBorder="1"/>
    <xf numFmtId="0" fontId="28" fillId="0" borderId="15" xfId="2" applyFont="1" applyFill="1" applyBorder="1"/>
    <xf numFmtId="0" fontId="1" fillId="0" borderId="15" xfId="2" applyFont="1" applyFill="1" applyBorder="1"/>
    <xf numFmtId="0" fontId="1" fillId="0" borderId="13" xfId="2" applyBorder="1"/>
    <xf numFmtId="2" fontId="1" fillId="0" borderId="55" xfId="0" applyNumberFormat="1" applyFont="1" applyBorder="1"/>
    <xf numFmtId="0" fontId="16" fillId="0" borderId="25" xfId="0" applyFont="1" applyBorder="1"/>
    <xf numFmtId="3" fontId="8" fillId="2" borderId="22" xfId="2" applyNumberFormat="1" applyFont="1" applyFill="1" applyBorder="1" applyAlignment="1">
      <alignment horizontal="right"/>
    </xf>
    <xf numFmtId="3" fontId="1" fillId="2" borderId="15" xfId="2" applyNumberFormat="1" applyFont="1" applyFill="1" applyBorder="1"/>
    <xf numFmtId="3" fontId="2" fillId="2" borderId="28" xfId="2" applyNumberFormat="1" applyFont="1" applyFill="1" applyBorder="1"/>
    <xf numFmtId="3" fontId="10" fillId="0" borderId="55" xfId="0" applyNumberFormat="1" applyFont="1" applyBorder="1"/>
    <xf numFmtId="0" fontId="15" fillId="0" borderId="34" xfId="0" applyFont="1" applyBorder="1"/>
    <xf numFmtId="3" fontId="7" fillId="0" borderId="21" xfId="2" applyNumberFormat="1" applyFont="1" applyFill="1" applyBorder="1" applyAlignment="1">
      <alignment horizontal="right"/>
    </xf>
    <xf numFmtId="3" fontId="10" fillId="0" borderId="21" xfId="0" applyNumberFormat="1" applyFont="1" applyBorder="1"/>
    <xf numFmtId="3" fontId="1" fillId="0" borderId="21" xfId="2" applyNumberFormat="1" applyFont="1" applyFill="1" applyBorder="1"/>
    <xf numFmtId="3" fontId="19" fillId="0" borderId="21" xfId="2" applyNumberFormat="1" applyFont="1" applyFill="1" applyBorder="1"/>
    <xf numFmtId="3" fontId="10" fillId="0" borderId="24" xfId="0" applyNumberFormat="1" applyFont="1" applyBorder="1"/>
    <xf numFmtId="3" fontId="10" fillId="0" borderId="41" xfId="0" applyNumberFormat="1" applyFont="1" applyBorder="1"/>
    <xf numFmtId="0" fontId="0" fillId="0" borderId="44" xfId="0" applyBorder="1"/>
    <xf numFmtId="2" fontId="1" fillId="0" borderId="57" xfId="0" applyNumberFormat="1" applyFont="1" applyBorder="1"/>
    <xf numFmtId="0" fontId="1" fillId="0" borderId="25" xfId="2" applyFill="1" applyBorder="1"/>
    <xf numFmtId="0" fontId="14" fillId="0" borderId="4" xfId="0" applyFont="1" applyFill="1" applyBorder="1" applyAlignment="1">
      <alignment horizontal="left"/>
    </xf>
    <xf numFmtId="0" fontId="14" fillId="0" borderId="17" xfId="0" applyFont="1" applyFill="1" applyBorder="1" applyAlignment="1">
      <alignment horizontal="center"/>
    </xf>
    <xf numFmtId="49" fontId="14" fillId="0" borderId="25" xfId="0" applyNumberFormat="1" applyFont="1" applyFill="1" applyBorder="1"/>
    <xf numFmtId="0" fontId="31" fillId="0" borderId="0" xfId="0" applyFont="1"/>
    <xf numFmtId="2" fontId="2" fillId="0" borderId="50" xfId="0" applyNumberFormat="1" applyFont="1" applyBorder="1"/>
    <xf numFmtId="0" fontId="32" fillId="0" borderId="0" xfId="0" applyFont="1" applyBorder="1"/>
    <xf numFmtId="0" fontId="4" fillId="0" borderId="47" xfId="1" applyFont="1" applyBorder="1" applyAlignment="1">
      <alignment horizontal="left"/>
    </xf>
    <xf numFmtId="0" fontId="1" fillId="0" borderId="10" xfId="1" applyFont="1" applyBorder="1" applyAlignment="1"/>
    <xf numFmtId="0" fontId="1" fillId="0" borderId="17" xfId="1" applyFont="1" applyBorder="1" applyAlignment="1"/>
    <xf numFmtId="3" fontId="3" fillId="2" borderId="22" xfId="2" applyNumberFormat="1" applyFont="1" applyFill="1" applyBorder="1"/>
    <xf numFmtId="3" fontId="12" fillId="2" borderId="22" xfId="2" applyNumberFormat="1" applyFont="1" applyFill="1" applyBorder="1"/>
    <xf numFmtId="3" fontId="12" fillId="0" borderId="22" xfId="2" applyNumberFormat="1" applyFont="1" applyFill="1" applyBorder="1"/>
    <xf numFmtId="3" fontId="12" fillId="0" borderId="8" xfId="2" applyNumberFormat="1" applyFont="1" applyFill="1" applyBorder="1"/>
    <xf numFmtId="2" fontId="8" fillId="0" borderId="57" xfId="0" applyNumberFormat="1" applyFont="1" applyBorder="1"/>
    <xf numFmtId="3" fontId="1" fillId="0" borderId="22" xfId="0" applyNumberFormat="1" applyFont="1" applyFill="1" applyBorder="1" applyAlignment="1">
      <alignment horizontal="right"/>
    </xf>
    <xf numFmtId="3" fontId="22" fillId="0" borderId="22" xfId="0" applyNumberFormat="1" applyFont="1" applyFill="1" applyBorder="1" applyAlignment="1">
      <alignment horizontal="right"/>
    </xf>
    <xf numFmtId="0" fontId="19" fillId="0" borderId="5" xfId="2" applyFont="1" applyFill="1" applyBorder="1"/>
    <xf numFmtId="0" fontId="13" fillId="0" borderId="17" xfId="2" applyFont="1" applyFill="1" applyBorder="1"/>
    <xf numFmtId="3" fontId="23" fillId="0" borderId="17" xfId="2" applyNumberFormat="1" applyFont="1" applyFill="1" applyBorder="1"/>
    <xf numFmtId="2" fontId="8" fillId="0" borderId="55" xfId="0" applyNumberFormat="1" applyFont="1" applyBorder="1"/>
    <xf numFmtId="0" fontId="10" fillId="0" borderId="22" xfId="0" applyFont="1" applyBorder="1"/>
    <xf numFmtId="0" fontId="10" fillId="0" borderId="5" xfId="0" applyFont="1" applyBorder="1"/>
    <xf numFmtId="0" fontId="4" fillId="0" borderId="9" xfId="0" applyFont="1" applyBorder="1" applyAlignment="1">
      <alignment horizontal="center"/>
    </xf>
    <xf numFmtId="49" fontId="1" fillId="0" borderId="12" xfId="2" applyNumberFormat="1" applyBorder="1" applyAlignment="1">
      <alignment horizontal="center"/>
    </xf>
    <xf numFmtId="0" fontId="1" fillId="0" borderId="12" xfId="2" applyBorder="1"/>
    <xf numFmtId="0" fontId="34" fillId="0" borderId="17" xfId="0" applyFont="1" applyBorder="1"/>
    <xf numFmtId="0" fontId="35" fillId="0" borderId="21" xfId="0" applyFont="1" applyBorder="1"/>
    <xf numFmtId="0" fontId="15" fillId="0" borderId="21" xfId="0" applyFont="1" applyBorder="1"/>
    <xf numFmtId="0" fontId="15" fillId="0" borderId="24" xfId="0" applyFont="1" applyBorder="1"/>
    <xf numFmtId="0" fontId="3" fillId="0" borderId="55" xfId="2" applyFont="1" applyFill="1" applyBorder="1"/>
    <xf numFmtId="0" fontId="1" fillId="0" borderId="2" xfId="0" applyFont="1" applyBorder="1"/>
    <xf numFmtId="3" fontId="7" fillId="0" borderId="11" xfId="2" applyNumberFormat="1" applyFont="1" applyFill="1" applyBorder="1"/>
    <xf numFmtId="3" fontId="1" fillId="0" borderId="19" xfId="2" applyNumberFormat="1" applyFont="1" applyBorder="1"/>
    <xf numFmtId="3" fontId="15" fillId="0" borderId="24" xfId="0" applyNumberFormat="1" applyFont="1" applyBorder="1"/>
    <xf numFmtId="3" fontId="1" fillId="0" borderId="11" xfId="2" applyNumberFormat="1" applyFont="1" applyBorder="1"/>
    <xf numFmtId="3" fontId="1" fillId="0" borderId="21" xfId="2" applyNumberFormat="1" applyFont="1" applyBorder="1"/>
    <xf numFmtId="3" fontId="7" fillId="0" borderId="21" xfId="2" applyNumberFormat="1" applyFont="1" applyFill="1" applyBorder="1"/>
    <xf numFmtId="3" fontId="4" fillId="0" borderId="39" xfId="2" applyNumberFormat="1" applyFont="1" applyFill="1" applyBorder="1"/>
    <xf numFmtId="49" fontId="3" fillId="0" borderId="31" xfId="2" applyNumberFormat="1" applyFont="1" applyFill="1" applyBorder="1" applyAlignment="1">
      <alignment horizontal="center"/>
    </xf>
    <xf numFmtId="49" fontId="3" fillId="0" borderId="5" xfId="2" applyNumberFormat="1" applyFont="1" applyFill="1" applyBorder="1" applyAlignment="1">
      <alignment horizontal="left"/>
    </xf>
    <xf numFmtId="49" fontId="14" fillId="0" borderId="9" xfId="0" applyNumberFormat="1" applyFont="1" applyFill="1" applyBorder="1" applyAlignment="1">
      <alignment horizontal="left"/>
    </xf>
    <xf numFmtId="0" fontId="14" fillId="0" borderId="11" xfId="0" applyFont="1" applyFill="1" applyBorder="1" applyAlignment="1">
      <alignment horizontal="center"/>
    </xf>
    <xf numFmtId="49" fontId="14" fillId="0" borderId="17" xfId="0" applyNumberFormat="1" applyFont="1" applyFill="1" applyBorder="1"/>
    <xf numFmtId="0" fontId="16" fillId="0" borderId="10" xfId="0" applyFont="1" applyBorder="1"/>
    <xf numFmtId="0" fontId="0" fillId="0" borderId="11" xfId="0" applyBorder="1"/>
    <xf numFmtId="0" fontId="36" fillId="0" borderId="34" xfId="0" applyFont="1" applyBorder="1"/>
    <xf numFmtId="2" fontId="1" fillId="2" borderId="54" xfId="0" applyNumberFormat="1" applyFont="1" applyFill="1" applyBorder="1"/>
    <xf numFmtId="0" fontId="32" fillId="0" borderId="35" xfId="0" applyFont="1" applyBorder="1"/>
    <xf numFmtId="3" fontId="1" fillId="0" borderId="15" xfId="2" applyNumberFormat="1" applyFont="1" applyBorder="1"/>
    <xf numFmtId="2" fontId="22" fillId="0" borderId="54" xfId="0" applyNumberFormat="1" applyFont="1" applyBorder="1"/>
    <xf numFmtId="0" fontId="1" fillId="2" borderId="22" xfId="0" applyFont="1" applyFill="1" applyBorder="1"/>
    <xf numFmtId="3" fontId="12" fillId="2" borderId="15" xfId="0" applyNumberFormat="1" applyFont="1" applyFill="1" applyBorder="1"/>
    <xf numFmtId="0" fontId="8" fillId="0" borderId="21" xfId="2" applyFont="1" applyFill="1" applyBorder="1" applyAlignment="1">
      <alignment horizontal="left"/>
    </xf>
    <xf numFmtId="0" fontId="4" fillId="0" borderId="26" xfId="2" applyFont="1" applyFill="1" applyBorder="1" applyAlignment="1"/>
    <xf numFmtId="0" fontId="4" fillId="0" borderId="38" xfId="2" applyFont="1" applyFill="1" applyBorder="1" applyAlignment="1"/>
    <xf numFmtId="0" fontId="14" fillId="0" borderId="0" xfId="0" applyFont="1" applyBorder="1" applyAlignment="1"/>
    <xf numFmtId="0" fontId="0" fillId="0" borderId="0" xfId="0" applyAlignment="1">
      <alignment horizontal="right"/>
    </xf>
    <xf numFmtId="0" fontId="3" fillId="0" borderId="49" xfId="2" applyFont="1" applyFill="1" applyBorder="1" applyAlignment="1">
      <alignment horizontal="center"/>
    </xf>
    <xf numFmtId="49" fontId="3" fillId="0" borderId="45" xfId="2" applyNumberFormat="1" applyFont="1" applyFill="1" applyBorder="1" applyAlignment="1" applyProtection="1">
      <alignment horizontal="center"/>
      <protection locked="0"/>
    </xf>
    <xf numFmtId="0" fontId="22" fillId="0" borderId="43" xfId="2" applyNumberFormat="1" applyFont="1" applyFill="1" applyBorder="1" applyAlignment="1">
      <alignment horizontal="left"/>
    </xf>
    <xf numFmtId="0" fontId="3" fillId="0" borderId="58" xfId="2" applyFont="1" applyFill="1" applyBorder="1"/>
    <xf numFmtId="3" fontId="23" fillId="0" borderId="42" xfId="0" applyNumberFormat="1" applyFont="1" applyFill="1" applyBorder="1" applyAlignment="1">
      <alignment horizontal="right"/>
    </xf>
    <xf numFmtId="3" fontId="22" fillId="2" borderId="42" xfId="0" applyNumberFormat="1" applyFont="1" applyFill="1" applyBorder="1" applyAlignment="1">
      <alignment horizontal="right"/>
    </xf>
    <xf numFmtId="0" fontId="3" fillId="0" borderId="0" xfId="2" applyFont="1" applyFill="1" applyBorder="1" applyAlignment="1">
      <alignment horizontal="center"/>
    </xf>
    <xf numFmtId="49" fontId="3" fillId="0" borderId="0" xfId="2" applyNumberFormat="1" applyFont="1" applyFill="1" applyBorder="1" applyAlignment="1" applyProtection="1">
      <alignment horizontal="center"/>
      <protection locked="0"/>
    </xf>
    <xf numFmtId="0" fontId="22" fillId="0" borderId="0" xfId="2" applyNumberFormat="1" applyFont="1" applyFill="1" applyBorder="1" applyAlignment="1">
      <alignment horizontal="left"/>
    </xf>
    <xf numFmtId="3" fontId="23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/>
    <xf numFmtId="0" fontId="8" fillId="0" borderId="1" xfId="2" applyFont="1" applyFill="1" applyBorder="1" applyAlignment="1">
      <alignment horizontal="center"/>
    </xf>
    <xf numFmtId="49" fontId="19" fillId="0" borderId="59" xfId="2" applyNumberFormat="1" applyFont="1" applyFill="1" applyBorder="1" applyAlignment="1" applyProtection="1">
      <alignment horizontal="center"/>
      <protection locked="0"/>
    </xf>
    <xf numFmtId="0" fontId="19" fillId="0" borderId="2" xfId="2" applyNumberFormat="1" applyFont="1" applyFill="1" applyBorder="1" applyAlignment="1">
      <alignment horizontal="left"/>
    </xf>
    <xf numFmtId="0" fontId="19" fillId="0" borderId="30" xfId="2" applyFont="1" applyFill="1" applyBorder="1"/>
    <xf numFmtId="0" fontId="3" fillId="0" borderId="48" xfId="2" applyFont="1" applyFill="1" applyBorder="1" applyAlignment="1"/>
    <xf numFmtId="0" fontId="3" fillId="0" borderId="24" xfId="2" applyFont="1" applyFill="1" applyBorder="1"/>
    <xf numFmtId="0" fontId="1" fillId="0" borderId="22" xfId="2" applyFont="1" applyFill="1" applyBorder="1" applyAlignment="1">
      <alignment vertical="center"/>
    </xf>
    <xf numFmtId="0" fontId="4" fillId="0" borderId="40" xfId="2" applyFont="1" applyFill="1" applyBorder="1" applyAlignment="1">
      <alignment vertical="center"/>
    </xf>
    <xf numFmtId="3" fontId="1" fillId="0" borderId="15" xfId="2" applyNumberFormat="1" applyFont="1" applyFill="1" applyBorder="1" applyAlignment="1">
      <alignment vertical="center"/>
    </xf>
    <xf numFmtId="49" fontId="7" fillId="2" borderId="31" xfId="2" applyNumberFormat="1" applyFont="1" applyFill="1" applyBorder="1" applyAlignment="1">
      <alignment horizontal="center"/>
    </xf>
    <xf numFmtId="49" fontId="10" fillId="2" borderId="17" xfId="2" applyNumberFormat="1" applyFont="1" applyFill="1" applyBorder="1" applyAlignment="1" applyProtection="1">
      <alignment horizontal="center"/>
      <protection locked="0"/>
    </xf>
    <xf numFmtId="0" fontId="10" fillId="2" borderId="15" xfId="2" applyFont="1" applyFill="1" applyBorder="1" applyAlignment="1">
      <alignment horizontal="left"/>
    </xf>
    <xf numFmtId="0" fontId="10" fillId="2" borderId="14" xfId="2" applyFont="1" applyFill="1" applyBorder="1"/>
    <xf numFmtId="3" fontId="10" fillId="2" borderId="22" xfId="2" applyNumberFormat="1" applyFont="1" applyFill="1" applyBorder="1"/>
    <xf numFmtId="0" fontId="10" fillId="2" borderId="22" xfId="0" applyFont="1" applyFill="1" applyBorder="1"/>
    <xf numFmtId="0" fontId="3" fillId="0" borderId="0" xfId="2" applyFont="1" applyFill="1" applyBorder="1" applyAlignment="1">
      <alignment horizontal="right"/>
    </xf>
    <xf numFmtId="0" fontId="22" fillId="0" borderId="21" xfId="2" applyFont="1" applyFill="1" applyBorder="1" applyAlignment="1">
      <alignment horizontal="center"/>
    </xf>
    <xf numFmtId="49" fontId="1" fillId="0" borderId="21" xfId="2" applyNumberFormat="1" applyBorder="1" applyAlignment="1">
      <alignment horizontal="center"/>
    </xf>
    <xf numFmtId="0" fontId="1" fillId="0" borderId="21" xfId="2" applyBorder="1"/>
    <xf numFmtId="0" fontId="4" fillId="0" borderId="9" xfId="0" applyFont="1" applyBorder="1"/>
    <xf numFmtId="0" fontId="37" fillId="0" borderId="21" xfId="0" applyFont="1" applyBorder="1"/>
    <xf numFmtId="0" fontId="1" fillId="0" borderId="23" xfId="2" applyFont="1" applyBorder="1"/>
    <xf numFmtId="49" fontId="1" fillId="0" borderId="21" xfId="0" applyNumberFormat="1" applyFont="1" applyFill="1" applyBorder="1"/>
    <xf numFmtId="0" fontId="4" fillId="0" borderId="18" xfId="2" applyFont="1" applyFill="1" applyBorder="1" applyAlignment="1">
      <alignment horizontal="center"/>
    </xf>
    <xf numFmtId="3" fontId="10" fillId="2" borderId="22" xfId="0" applyNumberFormat="1" applyFont="1" applyFill="1" applyBorder="1"/>
    <xf numFmtId="0" fontId="1" fillId="0" borderId="22" xfId="2" applyFont="1" applyBorder="1"/>
    <xf numFmtId="49" fontId="7" fillId="0" borderId="23" xfId="2" applyNumberFormat="1" applyFont="1" applyFill="1" applyBorder="1" applyAlignment="1">
      <alignment horizontal="left"/>
    </xf>
    <xf numFmtId="49" fontId="7" fillId="0" borderId="21" xfId="2" applyNumberFormat="1" applyFont="1" applyFill="1" applyBorder="1" applyAlignment="1">
      <alignment horizontal="left"/>
    </xf>
    <xf numFmtId="4" fontId="10" fillId="0" borderId="52" xfId="0" applyNumberFormat="1" applyFont="1" applyBorder="1"/>
    <xf numFmtId="0" fontId="7" fillId="0" borderId="3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22" fillId="0" borderId="21" xfId="0" applyFont="1" applyFill="1" applyBorder="1"/>
    <xf numFmtId="49" fontId="22" fillId="0" borderId="21" xfId="0" applyNumberFormat="1" applyFont="1" applyFill="1" applyBorder="1"/>
    <xf numFmtId="0" fontId="22" fillId="0" borderId="21" xfId="0" applyFont="1" applyFill="1" applyBorder="1" applyAlignment="1">
      <alignment horizontal="left"/>
    </xf>
    <xf numFmtId="3" fontId="22" fillId="0" borderId="21" xfId="0" applyNumberFormat="1" applyFont="1" applyBorder="1"/>
    <xf numFmtId="3" fontId="22" fillId="0" borderId="22" xfId="0" applyNumberFormat="1" applyFont="1" applyBorder="1"/>
    <xf numFmtId="0" fontId="22" fillId="0" borderId="21" xfId="0" applyFont="1" applyBorder="1"/>
    <xf numFmtId="0" fontId="0" fillId="0" borderId="35" xfId="0" applyBorder="1"/>
    <xf numFmtId="3" fontId="8" fillId="0" borderId="17" xfId="1" applyNumberFormat="1" applyFont="1" applyFill="1" applyBorder="1" applyAlignment="1"/>
    <xf numFmtId="3" fontId="3" fillId="0" borderId="22" xfId="1" applyNumberFormat="1" applyFont="1" applyFill="1" applyBorder="1" applyAlignment="1"/>
    <xf numFmtId="3" fontId="3" fillId="0" borderId="17" xfId="1" applyNumberFormat="1" applyFont="1" applyFill="1" applyBorder="1" applyAlignment="1"/>
    <xf numFmtId="0" fontId="15" fillId="0" borderId="22" xfId="0" applyFont="1" applyBorder="1"/>
    <xf numFmtId="3" fontId="1" fillId="0" borderId="15" xfId="2" applyNumberFormat="1" applyFont="1" applyFill="1" applyBorder="1"/>
    <xf numFmtId="3" fontId="1" fillId="0" borderId="17" xfId="2" applyNumberFormat="1" applyFont="1" applyFill="1" applyBorder="1"/>
    <xf numFmtId="49" fontId="7" fillId="0" borderId="46" xfId="2" applyNumberFormat="1" applyFont="1" applyFill="1" applyBorder="1" applyAlignment="1">
      <alignment horizontal="center"/>
    </xf>
    <xf numFmtId="0" fontId="13" fillId="0" borderId="21" xfId="2" applyFont="1" applyFill="1" applyBorder="1"/>
    <xf numFmtId="3" fontId="19" fillId="0" borderId="17" xfId="2" applyNumberFormat="1" applyFont="1" applyFill="1" applyBorder="1"/>
    <xf numFmtId="2" fontId="1" fillId="0" borderId="54" xfId="0" applyNumberFormat="1" applyFont="1" applyFill="1" applyBorder="1"/>
    <xf numFmtId="49" fontId="10" fillId="0" borderId="22" xfId="2" applyNumberFormat="1" applyFont="1" applyFill="1" applyBorder="1" applyAlignment="1" applyProtection="1">
      <alignment horizontal="center"/>
      <protection locked="0"/>
    </xf>
    <xf numFmtId="0" fontId="10" fillId="0" borderId="10" xfId="2" applyFont="1" applyFill="1" applyBorder="1"/>
    <xf numFmtId="0" fontId="10" fillId="0" borderId="22" xfId="0" applyFont="1" applyFill="1" applyBorder="1"/>
    <xf numFmtId="49" fontId="10" fillId="0" borderId="17" xfId="2" applyNumberFormat="1" applyFont="1" applyFill="1" applyBorder="1" applyAlignment="1" applyProtection="1">
      <alignment horizontal="center"/>
      <protection locked="0"/>
    </xf>
    <xf numFmtId="0" fontId="10" fillId="0" borderId="22" xfId="2" applyFont="1" applyFill="1" applyBorder="1" applyAlignment="1">
      <alignment horizontal="left"/>
    </xf>
    <xf numFmtId="0" fontId="10" fillId="0" borderId="20" xfId="2" applyFont="1" applyFill="1" applyBorder="1"/>
    <xf numFmtId="3" fontId="10" fillId="0" borderId="22" xfId="2" applyNumberFormat="1" applyFont="1" applyFill="1" applyBorder="1"/>
    <xf numFmtId="0" fontId="35" fillId="0" borderId="21" xfId="0" applyFont="1" applyFill="1" applyBorder="1"/>
    <xf numFmtId="4" fontId="1" fillId="0" borderId="54" xfId="0" applyNumberFormat="1" applyFont="1" applyBorder="1"/>
    <xf numFmtId="3" fontId="1" fillId="0" borderId="21" xfId="0" applyNumberFormat="1" applyFont="1" applyFill="1" applyBorder="1"/>
    <xf numFmtId="49" fontId="22" fillId="0" borderId="11" xfId="0" applyNumberFormat="1" applyFont="1" applyFill="1" applyBorder="1"/>
    <xf numFmtId="2" fontId="2" fillId="0" borderId="60" xfId="0" applyNumberFormat="1" applyFont="1" applyBorder="1"/>
    <xf numFmtId="49" fontId="19" fillId="0" borderId="9" xfId="0" applyNumberFormat="1" applyFont="1" applyFill="1" applyBorder="1" applyAlignment="1">
      <alignment horizontal="center"/>
    </xf>
    <xf numFmtId="0" fontId="19" fillId="0" borderId="24" xfId="0" applyFont="1" applyFill="1" applyBorder="1"/>
    <xf numFmtId="3" fontId="19" fillId="2" borderId="22" xfId="0" applyNumberFormat="1" applyFont="1" applyFill="1" applyBorder="1"/>
    <xf numFmtId="2" fontId="19" fillId="0" borderId="54" xfId="0" applyNumberFormat="1" applyFont="1" applyBorder="1"/>
    <xf numFmtId="0" fontId="19" fillId="0" borderId="13" xfId="0" applyFont="1" applyFill="1" applyBorder="1" applyAlignment="1"/>
    <xf numFmtId="0" fontId="19" fillId="2" borderId="22" xfId="0" applyFont="1" applyFill="1" applyBorder="1" applyAlignment="1"/>
    <xf numFmtId="0" fontId="19" fillId="0" borderId="24" xfId="0" applyFont="1" applyFill="1" applyBorder="1" applyAlignment="1">
      <alignment horizontal="left"/>
    </xf>
    <xf numFmtId="3" fontId="19" fillId="0" borderId="22" xfId="0" applyNumberFormat="1" applyFont="1" applyFill="1" applyBorder="1"/>
    <xf numFmtId="49" fontId="19" fillId="0" borderId="12" xfId="0" applyNumberFormat="1" applyFont="1" applyFill="1" applyBorder="1" applyAlignment="1">
      <alignment horizontal="center"/>
    </xf>
    <xf numFmtId="2" fontId="10" fillId="0" borderId="54" xfId="0" applyNumberFormat="1" applyFont="1" applyBorder="1"/>
    <xf numFmtId="3" fontId="16" fillId="0" borderId="22" xfId="0" applyNumberFormat="1" applyFont="1" applyBorder="1"/>
    <xf numFmtId="49" fontId="19" fillId="0" borderId="16" xfId="0" applyNumberFormat="1" applyFont="1" applyFill="1" applyBorder="1" applyAlignment="1">
      <alignment horizontal="center"/>
    </xf>
    <xf numFmtId="49" fontId="19" fillId="0" borderId="15" xfId="0" applyNumberFormat="1" applyFont="1" applyFill="1" applyBorder="1" applyAlignment="1">
      <alignment horizontal="left"/>
    </xf>
    <xf numFmtId="0" fontId="10" fillId="2" borderId="15" xfId="0" applyFont="1" applyFill="1" applyBorder="1" applyAlignment="1">
      <alignment horizontal="left"/>
    </xf>
    <xf numFmtId="0" fontId="10" fillId="0" borderId="24" xfId="0" applyFont="1" applyFill="1" applyBorder="1"/>
    <xf numFmtId="49" fontId="19" fillId="0" borderId="22" xfId="0" applyNumberFormat="1" applyFont="1" applyFill="1" applyBorder="1" applyAlignment="1">
      <alignment horizontal="left"/>
    </xf>
    <xf numFmtId="0" fontId="10" fillId="2" borderId="22" xfId="0" applyFont="1" applyFill="1" applyBorder="1" applyAlignment="1">
      <alignment horizontal="left"/>
    </xf>
    <xf numFmtId="0" fontId="10" fillId="0" borderId="16" xfId="0" applyFont="1" applyFill="1" applyBorder="1"/>
    <xf numFmtId="0" fontId="10" fillId="0" borderId="15" xfId="0" applyFont="1" applyFill="1" applyBorder="1"/>
    <xf numFmtId="0" fontId="13" fillId="2" borderId="22" xfId="0" applyFont="1" applyFill="1" applyBorder="1" applyAlignment="1">
      <alignment vertical="center"/>
    </xf>
    <xf numFmtId="0" fontId="13" fillId="0" borderId="22" xfId="0" applyFont="1" applyFill="1" applyBorder="1"/>
    <xf numFmtId="3" fontId="13" fillId="0" borderId="22" xfId="0" applyNumberFormat="1" applyFont="1" applyFill="1" applyBorder="1"/>
    <xf numFmtId="0" fontId="19" fillId="2" borderId="5" xfId="0" applyFont="1" applyFill="1" applyBorder="1" applyAlignment="1">
      <alignment vertical="center"/>
    </xf>
    <xf numFmtId="0" fontId="10" fillId="2" borderId="16" xfId="0" applyFont="1" applyFill="1" applyBorder="1"/>
    <xf numFmtId="0" fontId="10" fillId="2" borderId="15" xfId="0" applyFont="1" applyFill="1" applyBorder="1" applyAlignment="1">
      <alignment horizontal="center"/>
    </xf>
    <xf numFmtId="0" fontId="10" fillId="2" borderId="15" xfId="0" applyFont="1" applyFill="1" applyBorder="1"/>
    <xf numFmtId="49" fontId="10" fillId="2" borderId="22" xfId="0" applyNumberFormat="1" applyFont="1" applyFill="1" applyBorder="1"/>
    <xf numFmtId="2" fontId="10" fillId="2" borderId="54" xfId="0" applyNumberFormat="1" applyFont="1" applyFill="1" applyBorder="1"/>
    <xf numFmtId="0" fontId="10" fillId="0" borderId="15" xfId="0" applyFont="1" applyFill="1" applyBorder="1" applyAlignment="1">
      <alignment horizontal="center"/>
    </xf>
    <xf numFmtId="49" fontId="10" fillId="0" borderId="15" xfId="0" applyNumberFormat="1" applyFont="1" applyFill="1" applyBorder="1"/>
    <xf numFmtId="3" fontId="10" fillId="0" borderId="5" xfId="0" applyNumberFormat="1" applyFont="1" applyFill="1" applyBorder="1"/>
    <xf numFmtId="2" fontId="10" fillId="0" borderId="55" xfId="0" applyNumberFormat="1" applyFont="1" applyBorder="1"/>
    <xf numFmtId="49" fontId="1" fillId="0" borderId="16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0" fontId="22" fillId="0" borderId="12" xfId="0" applyFont="1" applyFill="1" applyBorder="1"/>
    <xf numFmtId="49" fontId="22" fillId="0" borderId="21" xfId="0" applyNumberFormat="1" applyFont="1" applyFill="1" applyBorder="1" applyAlignment="1">
      <alignment horizontal="center"/>
    </xf>
    <xf numFmtId="2" fontId="22" fillId="0" borderId="54" xfId="0" applyNumberFormat="1" applyFont="1" applyFill="1" applyBorder="1"/>
    <xf numFmtId="49" fontId="22" fillId="0" borderId="49" xfId="0" applyNumberFormat="1" applyFont="1" applyFill="1" applyBorder="1" applyAlignment="1">
      <alignment horizontal="center"/>
    </xf>
    <xf numFmtId="49" fontId="22" fillId="0" borderId="21" xfId="0" applyNumberFormat="1" applyFont="1" applyFill="1" applyBorder="1" applyAlignment="1">
      <alignment horizontal="left"/>
    </xf>
    <xf numFmtId="49" fontId="22" fillId="0" borderId="24" xfId="0" applyNumberFormat="1" applyFont="1" applyFill="1" applyBorder="1" applyAlignment="1">
      <alignment horizontal="left"/>
    </xf>
    <xf numFmtId="0" fontId="22" fillId="0" borderId="15" xfId="0" applyFont="1" applyFill="1" applyBorder="1"/>
    <xf numFmtId="3" fontId="22" fillId="2" borderId="15" xfId="0" applyNumberFormat="1" applyFont="1" applyFill="1" applyBorder="1"/>
    <xf numFmtId="2" fontId="22" fillId="0" borderId="55" xfId="0" applyNumberFormat="1" applyFont="1" applyBorder="1"/>
    <xf numFmtId="49" fontId="22" fillId="0" borderId="11" xfId="0" applyNumberFormat="1" applyFont="1" applyFill="1" applyBorder="1" applyAlignment="1">
      <alignment horizontal="left"/>
    </xf>
    <xf numFmtId="0" fontId="22" fillId="0" borderId="17" xfId="0" applyFont="1" applyFill="1" applyBorder="1"/>
    <xf numFmtId="3" fontId="22" fillId="0" borderId="17" xfId="0" applyNumberFormat="1" applyFont="1" applyFill="1" applyBorder="1"/>
    <xf numFmtId="3" fontId="22" fillId="2" borderId="17" xfId="0" applyNumberFormat="1" applyFont="1" applyFill="1" applyBorder="1"/>
    <xf numFmtId="2" fontId="22" fillId="0" borderId="56" xfId="0" applyNumberFormat="1" applyFont="1" applyBorder="1"/>
    <xf numFmtId="0" fontId="22" fillId="0" borderId="15" xfId="0" applyFont="1" applyFill="1" applyBorder="1" applyAlignment="1">
      <alignment horizontal="left"/>
    </xf>
    <xf numFmtId="0" fontId="22" fillId="0" borderId="13" xfId="0" applyFont="1" applyFill="1" applyBorder="1"/>
    <xf numFmtId="0" fontId="13" fillId="0" borderId="22" xfId="0" applyFont="1" applyFill="1" applyBorder="1" applyAlignment="1">
      <alignment horizontal="left"/>
    </xf>
    <xf numFmtId="0" fontId="13" fillId="0" borderId="23" xfId="0" applyFont="1" applyFill="1" applyBorder="1"/>
    <xf numFmtId="3" fontId="24" fillId="0" borderId="22" xfId="0" applyNumberFormat="1" applyFont="1" applyFill="1" applyBorder="1"/>
    <xf numFmtId="49" fontId="22" fillId="0" borderId="45" xfId="0" applyNumberFormat="1" applyFont="1" applyFill="1" applyBorder="1" applyAlignment="1">
      <alignment horizontal="center"/>
    </xf>
    <xf numFmtId="0" fontId="22" fillId="0" borderId="42" xfId="0" applyFont="1" applyFill="1" applyBorder="1" applyAlignment="1">
      <alignment horizontal="left"/>
    </xf>
    <xf numFmtId="0" fontId="12" fillId="0" borderId="43" xfId="0" applyFont="1" applyFill="1" applyBorder="1"/>
    <xf numFmtId="3" fontId="24" fillId="0" borderId="42" xfId="0" applyNumberFormat="1" applyFont="1" applyFill="1" applyBorder="1"/>
    <xf numFmtId="0" fontId="22" fillId="0" borderId="42" xfId="0" applyFont="1" applyFill="1" applyBorder="1"/>
    <xf numFmtId="2" fontId="22" fillId="0" borderId="57" xfId="0" applyNumberFormat="1" applyFont="1" applyFill="1" applyBorder="1"/>
    <xf numFmtId="49" fontId="22" fillId="0" borderId="12" xfId="0" applyNumberFormat="1" applyFont="1" applyFill="1" applyBorder="1" applyAlignment="1">
      <alignment horizontal="center"/>
    </xf>
    <xf numFmtId="49" fontId="22" fillId="0" borderId="22" xfId="0" applyNumberFormat="1" applyFont="1" applyFill="1" applyBorder="1" applyAlignment="1">
      <alignment horizontal="left"/>
    </xf>
    <xf numFmtId="0" fontId="22" fillId="0" borderId="18" xfId="0" applyFont="1" applyFill="1" applyBorder="1"/>
    <xf numFmtId="0" fontId="22" fillId="0" borderId="23" xfId="0" applyFont="1" applyFill="1" applyBorder="1" applyAlignment="1"/>
    <xf numFmtId="49" fontId="22" fillId="0" borderId="15" xfId="0" applyNumberFormat="1" applyFont="1" applyFill="1" applyBorder="1" applyAlignment="1">
      <alignment horizontal="left"/>
    </xf>
    <xf numFmtId="0" fontId="22" fillId="0" borderId="16" xfId="0" applyFont="1" applyFill="1" applyBorder="1"/>
    <xf numFmtId="0" fontId="12" fillId="0" borderId="15" xfId="0" applyFont="1" applyFill="1" applyBorder="1"/>
    <xf numFmtId="3" fontId="38" fillId="0" borderId="15" xfId="0" applyNumberFormat="1" applyFont="1" applyFill="1" applyBorder="1"/>
    <xf numFmtId="3" fontId="22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0" fillId="0" borderId="0" xfId="0" applyFont="1" applyFill="1" applyBorder="1"/>
    <xf numFmtId="0" fontId="14" fillId="0" borderId="0" xfId="0" applyFont="1" applyFill="1" applyBorder="1"/>
    <xf numFmtId="0" fontId="10" fillId="0" borderId="0" xfId="0" applyFont="1" applyFill="1"/>
    <xf numFmtId="0" fontId="16" fillId="0" borderId="0" xfId="0" applyFont="1" applyFill="1"/>
    <xf numFmtId="0" fontId="14" fillId="0" borderId="0" xfId="0" applyFont="1" applyFill="1"/>
    <xf numFmtId="0" fontId="17" fillId="0" borderId="0" xfId="0" applyFont="1" applyFill="1"/>
    <xf numFmtId="0" fontId="18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14" xfId="0" applyFill="1" applyBorder="1"/>
    <xf numFmtId="0" fontId="1" fillId="0" borderId="21" xfId="0" applyFont="1" applyBorder="1"/>
    <xf numFmtId="3" fontId="35" fillId="0" borderId="21" xfId="0" applyNumberFormat="1" applyFont="1" applyBorder="1"/>
    <xf numFmtId="3" fontId="22" fillId="0" borderId="21" xfId="0" applyNumberFormat="1" applyFont="1" applyFill="1" applyBorder="1"/>
    <xf numFmtId="4" fontId="22" fillId="0" borderId="54" xfId="0" applyNumberFormat="1" applyFont="1" applyBorder="1"/>
    <xf numFmtId="0" fontId="10" fillId="0" borderId="24" xfId="0" applyFont="1" applyFill="1" applyBorder="1" applyAlignment="1">
      <alignment horizontal="left"/>
    </xf>
    <xf numFmtId="3" fontId="10" fillId="0" borderId="17" xfId="0" applyNumberFormat="1" applyFont="1" applyBorder="1"/>
    <xf numFmtId="3" fontId="13" fillId="0" borderId="22" xfId="0" applyNumberFormat="1" applyFont="1" applyBorder="1"/>
    <xf numFmtId="2" fontId="13" fillId="0" borderId="54" xfId="0" applyNumberFormat="1" applyFont="1" applyBorder="1"/>
    <xf numFmtId="0" fontId="13" fillId="0" borderId="17" xfId="0" applyFont="1" applyFill="1" applyBorder="1"/>
    <xf numFmtId="0" fontId="13" fillId="0" borderId="22" xfId="0" applyFont="1" applyBorder="1"/>
    <xf numFmtId="0" fontId="13" fillId="2" borderId="17" xfId="0" applyFont="1" applyFill="1" applyBorder="1" applyAlignment="1">
      <alignment vertical="center"/>
    </xf>
    <xf numFmtId="49" fontId="10" fillId="0" borderId="24" xfId="0" applyNumberFormat="1" applyFont="1" applyFill="1" applyBorder="1"/>
    <xf numFmtId="3" fontId="10" fillId="2" borderId="17" xfId="0" applyNumberFormat="1" applyFont="1" applyFill="1" applyBorder="1"/>
    <xf numFmtId="3" fontId="0" fillId="0" borderId="0" xfId="0" applyNumberFormat="1"/>
    <xf numFmtId="0" fontId="0" fillId="0" borderId="30" xfId="0" applyBorder="1"/>
    <xf numFmtId="0" fontId="10" fillId="0" borderId="17" xfId="0" applyFont="1" applyFill="1" applyBorder="1"/>
    <xf numFmtId="0" fontId="15" fillId="0" borderId="22" xfId="0" applyFont="1" applyFill="1" applyBorder="1"/>
    <xf numFmtId="2" fontId="8" fillId="0" borderId="54" xfId="0" applyNumberFormat="1" applyFont="1" applyFill="1" applyBorder="1"/>
    <xf numFmtId="2" fontId="1" fillId="0" borderId="55" xfId="0" applyNumberFormat="1" applyFont="1" applyFill="1" applyBorder="1"/>
    <xf numFmtId="3" fontId="10" fillId="0" borderId="22" xfId="0" applyNumberFormat="1" applyFont="1" applyFill="1" applyBorder="1"/>
    <xf numFmtId="3" fontId="10" fillId="0" borderId="15" xfId="0" applyNumberFormat="1" applyFont="1" applyFill="1" applyBorder="1"/>
    <xf numFmtId="3" fontId="12" fillId="0" borderId="22" xfId="0" applyNumberFormat="1" applyFont="1" applyFill="1" applyBorder="1"/>
    <xf numFmtId="3" fontId="12" fillId="0" borderId="15" xfId="0" applyNumberFormat="1" applyFont="1" applyFill="1" applyBorder="1"/>
    <xf numFmtId="3" fontId="19" fillId="0" borderId="5" xfId="0" applyNumberFormat="1" applyFont="1" applyFill="1" applyBorder="1"/>
    <xf numFmtId="3" fontId="32" fillId="0" borderId="0" xfId="0" applyNumberFormat="1" applyFont="1"/>
    <xf numFmtId="0" fontId="1" fillId="0" borderId="14" xfId="0" applyFont="1" applyFill="1" applyBorder="1"/>
    <xf numFmtId="0" fontId="7" fillId="0" borderId="23" xfId="0" applyFont="1" applyFill="1" applyBorder="1" applyAlignment="1"/>
    <xf numFmtId="0" fontId="7" fillId="0" borderId="11" xfId="0" applyFont="1" applyFill="1" applyBorder="1" applyAlignment="1"/>
    <xf numFmtId="0" fontId="8" fillId="0" borderId="20" xfId="2" applyFont="1" applyFill="1" applyBorder="1" applyAlignment="1">
      <alignment horizontal="left"/>
    </xf>
    <xf numFmtId="0" fontId="8" fillId="0" borderId="21" xfId="2" applyFont="1" applyFill="1" applyBorder="1" applyAlignment="1">
      <alignment horizontal="left"/>
    </xf>
    <xf numFmtId="0" fontId="29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26" xfId="2" applyFont="1" applyFill="1" applyBorder="1" applyAlignment="1"/>
    <xf numFmtId="0" fontId="4" fillId="0" borderId="38" xfId="2" applyFont="1" applyFill="1" applyBorder="1" applyAlignment="1"/>
    <xf numFmtId="0" fontId="4" fillId="0" borderId="39" xfId="2" applyFont="1" applyFill="1" applyBorder="1" applyAlignment="1"/>
    <xf numFmtId="3" fontId="1" fillId="0" borderId="15" xfId="2" applyNumberFormat="1" applyFill="1" applyBorder="1" applyAlignment="1">
      <alignment horizontal="right" vertical="center" wrapText="1"/>
    </xf>
    <xf numFmtId="3" fontId="1" fillId="0" borderId="17" xfId="2" applyNumberFormat="1" applyFill="1" applyBorder="1" applyAlignment="1">
      <alignment horizontal="right" vertical="center" wrapText="1"/>
    </xf>
    <xf numFmtId="2" fontId="1" fillId="0" borderId="36" xfId="0" applyNumberFormat="1" applyFont="1" applyBorder="1" applyAlignment="1">
      <alignment horizontal="right" vertical="center"/>
    </xf>
    <xf numFmtId="2" fontId="1" fillId="0" borderId="44" xfId="0" applyNumberFormat="1" applyFont="1" applyBorder="1" applyAlignment="1">
      <alignment horizontal="right" vertical="center"/>
    </xf>
    <xf numFmtId="49" fontId="4" fillId="0" borderId="26" xfId="2" applyNumberFormat="1" applyFont="1" applyFill="1" applyBorder="1" applyAlignment="1">
      <alignment horizontal="left"/>
    </xf>
    <xf numFmtId="49" fontId="3" fillId="0" borderId="24" xfId="2" applyNumberFormat="1" applyFont="1" applyFill="1" applyBorder="1" applyAlignment="1">
      <alignment horizontal="left" vertical="center" wrapText="1"/>
    </xf>
    <xf numFmtId="49" fontId="3" fillId="0" borderId="11" xfId="2" applyNumberFormat="1" applyFont="1" applyFill="1" applyBorder="1" applyAlignment="1">
      <alignment horizontal="left" vertical="center" wrapText="1"/>
    </xf>
    <xf numFmtId="49" fontId="3" fillId="0" borderId="15" xfId="2" applyNumberFormat="1" applyFont="1" applyFill="1" applyBorder="1" applyAlignment="1">
      <alignment horizontal="left" vertical="center" wrapText="1"/>
    </xf>
    <xf numFmtId="49" fontId="3" fillId="0" borderId="17" xfId="2" applyNumberFormat="1" applyFont="1" applyFill="1" applyBorder="1" applyAlignment="1">
      <alignment horizontal="left" vertical="center" wrapText="1"/>
    </xf>
    <xf numFmtId="49" fontId="19" fillId="0" borderId="23" xfId="2" applyNumberFormat="1" applyFont="1" applyFill="1" applyBorder="1" applyAlignment="1" applyProtection="1">
      <alignment horizontal="left"/>
      <protection locked="0"/>
    </xf>
    <xf numFmtId="0" fontId="31" fillId="0" borderId="21" xfId="0" applyFont="1" applyFill="1" applyBorder="1" applyAlignment="1">
      <alignment horizontal="left"/>
    </xf>
    <xf numFmtId="2" fontId="8" fillId="0" borderId="36" xfId="0" applyNumberFormat="1" applyFont="1" applyFill="1" applyBorder="1" applyAlignment="1">
      <alignment vertical="center"/>
    </xf>
    <xf numFmtId="2" fontId="8" fillId="0" borderId="44" xfId="0" applyNumberFormat="1" applyFont="1" applyFill="1" applyBorder="1" applyAlignment="1">
      <alignment vertical="center"/>
    </xf>
    <xf numFmtId="2" fontId="8" fillId="0" borderId="6" xfId="0" applyNumberFormat="1" applyFont="1" applyFill="1" applyBorder="1" applyAlignment="1">
      <alignment vertical="center"/>
    </xf>
    <xf numFmtId="2" fontId="8" fillId="0" borderId="3" xfId="0" applyNumberFormat="1" applyFont="1" applyBorder="1" applyAlignment="1">
      <alignment vertical="center"/>
    </xf>
    <xf numFmtId="2" fontId="8" fillId="0" borderId="44" xfId="0" applyNumberFormat="1" applyFont="1" applyBorder="1" applyAlignment="1">
      <alignment vertical="center"/>
    </xf>
    <xf numFmtId="3" fontId="19" fillId="0" borderId="2" xfId="0" applyNumberFormat="1" applyFont="1" applyFill="1" applyBorder="1" applyAlignment="1">
      <alignment horizontal="right" vertical="center"/>
    </xf>
    <xf numFmtId="3" fontId="19" fillId="0" borderId="17" xfId="0" applyNumberFormat="1" applyFont="1" applyFill="1" applyBorder="1" applyAlignment="1">
      <alignment horizontal="right" vertical="center"/>
    </xf>
    <xf numFmtId="3" fontId="19" fillId="0" borderId="2" xfId="0" applyNumberFormat="1" applyFont="1" applyBorder="1" applyAlignment="1">
      <alignment horizontal="right" vertical="center"/>
    </xf>
    <xf numFmtId="3" fontId="19" fillId="0" borderId="17" xfId="0" applyNumberFormat="1" applyFont="1" applyBorder="1" applyAlignment="1">
      <alignment horizontal="right" vertical="center"/>
    </xf>
    <xf numFmtId="3" fontId="27" fillId="0" borderId="15" xfId="0" applyNumberFormat="1" applyFont="1" applyFill="1" applyBorder="1" applyAlignment="1">
      <alignment horizontal="right" vertical="center"/>
    </xf>
    <xf numFmtId="3" fontId="27" fillId="0" borderId="17" xfId="0" applyNumberFormat="1" applyFont="1" applyFill="1" applyBorder="1" applyAlignment="1">
      <alignment horizontal="right" vertical="center"/>
    </xf>
    <xf numFmtId="3" fontId="19" fillId="0" borderId="15" xfId="0" applyNumberFormat="1" applyFont="1" applyFill="1" applyBorder="1" applyAlignment="1">
      <alignment horizontal="right" vertical="center"/>
    </xf>
    <xf numFmtId="49" fontId="8" fillId="0" borderId="11" xfId="2" applyNumberFormat="1" applyFont="1" applyFill="1" applyBorder="1" applyAlignment="1">
      <alignment horizontal="left"/>
    </xf>
    <xf numFmtId="0" fontId="8" fillId="0" borderId="17" xfId="2" applyFont="1" applyFill="1" applyBorder="1" applyAlignment="1">
      <alignment horizontal="left"/>
    </xf>
    <xf numFmtId="0" fontId="2" fillId="0" borderId="26" xfId="0" applyFont="1" applyFill="1" applyBorder="1" applyAlignment="1"/>
    <xf numFmtId="0" fontId="2" fillId="0" borderId="38" xfId="0" applyFont="1" applyFill="1" applyBorder="1" applyAlignment="1"/>
    <xf numFmtId="0" fontId="2" fillId="0" borderId="39" xfId="0" applyFont="1" applyFill="1" applyBorder="1" applyAlignment="1"/>
    <xf numFmtId="0" fontId="4" fillId="0" borderId="27" xfId="2" applyFont="1" applyFill="1" applyBorder="1" applyAlignment="1"/>
    <xf numFmtId="0" fontId="4" fillId="0" borderId="28" xfId="2" applyFont="1" applyFill="1" applyBorder="1" applyAlignment="1"/>
    <xf numFmtId="0" fontId="8" fillId="0" borderId="20" xfId="0" applyFont="1" applyFill="1" applyBorder="1" applyAlignment="1"/>
    <xf numFmtId="0" fontId="8" fillId="0" borderId="21" xfId="0" applyFont="1" applyFill="1" applyBorder="1" applyAlignment="1"/>
    <xf numFmtId="3" fontId="1" fillId="0" borderId="15" xfId="2" applyNumberFormat="1" applyFont="1" applyFill="1" applyBorder="1" applyAlignment="1">
      <alignment horizontal="right" vertical="center"/>
    </xf>
    <xf numFmtId="3" fontId="1" fillId="0" borderId="17" xfId="2" applyNumberFormat="1" applyFont="1" applyFill="1" applyBorder="1" applyAlignment="1">
      <alignment horizontal="right" vertical="center"/>
    </xf>
    <xf numFmtId="4" fontId="1" fillId="0" borderId="36" xfId="2" applyNumberFormat="1" applyFont="1" applyFill="1" applyBorder="1" applyAlignment="1">
      <alignment horizontal="right" vertical="center"/>
    </xf>
    <xf numFmtId="4" fontId="1" fillId="0" borderId="44" xfId="2" applyNumberFormat="1" applyFont="1" applyFill="1" applyBorder="1" applyAlignment="1">
      <alignment horizontal="right" vertical="center"/>
    </xf>
    <xf numFmtId="0" fontId="3" fillId="0" borderId="15" xfId="2" applyFont="1" applyFill="1" applyBorder="1" applyAlignment="1">
      <alignment horizontal="right" vertical="center"/>
    </xf>
    <xf numFmtId="0" fontId="3" fillId="0" borderId="17" xfId="2" applyFont="1" applyFill="1" applyBorder="1" applyAlignment="1">
      <alignment horizontal="right" vertical="center"/>
    </xf>
    <xf numFmtId="0" fontId="3" fillId="0" borderId="15" xfId="2" applyFont="1" applyFill="1" applyBorder="1" applyAlignment="1">
      <alignment horizontal="left" wrapText="1"/>
    </xf>
    <xf numFmtId="0" fontId="3" fillId="0" borderId="17" xfId="2" applyFont="1" applyFill="1" applyBorder="1" applyAlignment="1">
      <alignment horizontal="left" wrapText="1"/>
    </xf>
    <xf numFmtId="0" fontId="3" fillId="0" borderId="15" xfId="2" applyFont="1" applyFill="1" applyBorder="1" applyAlignment="1">
      <alignment horizontal="left" vertical="center"/>
    </xf>
    <xf numFmtId="0" fontId="3" fillId="0" borderId="17" xfId="2" applyFont="1" applyFill="1" applyBorder="1" applyAlignment="1">
      <alignment horizontal="left" vertical="center"/>
    </xf>
    <xf numFmtId="3" fontId="1" fillId="0" borderId="15" xfId="2" applyNumberFormat="1" applyFill="1" applyBorder="1" applyAlignment="1">
      <alignment horizontal="right" vertical="center"/>
    </xf>
    <xf numFmtId="3" fontId="1" fillId="0" borderId="17" xfId="2" applyNumberFormat="1" applyFill="1" applyBorder="1" applyAlignment="1">
      <alignment horizontal="right" vertical="center"/>
    </xf>
    <xf numFmtId="4" fontId="1" fillId="0" borderId="55" xfId="2" applyNumberFormat="1" applyFont="1" applyFill="1" applyBorder="1" applyAlignment="1">
      <alignment horizontal="right" vertical="center"/>
    </xf>
    <xf numFmtId="4" fontId="1" fillId="0" borderId="56" xfId="2" applyNumberFormat="1" applyFont="1" applyFill="1" applyBorder="1" applyAlignment="1">
      <alignment horizontal="right" vertical="center"/>
    </xf>
    <xf numFmtId="0" fontId="19" fillId="0" borderId="23" xfId="0" applyFont="1" applyFill="1" applyBorder="1" applyAlignment="1"/>
    <xf numFmtId="0" fontId="19" fillId="0" borderId="11" xfId="0" applyFont="1" applyFill="1" applyBorder="1" applyAlignment="1"/>
    <xf numFmtId="0" fontId="4" fillId="0" borderId="26" xfId="0" applyFont="1" applyFill="1" applyBorder="1" applyAlignment="1"/>
    <xf numFmtId="0" fontId="4" fillId="0" borderId="38" xfId="0" applyFont="1" applyFill="1" applyBorder="1" applyAlignment="1"/>
    <xf numFmtId="0" fontId="4" fillId="0" borderId="39" xfId="0" applyFont="1" applyFill="1" applyBorder="1" applyAlignment="1"/>
    <xf numFmtId="0" fontId="14" fillId="0" borderId="0" xfId="0" applyFont="1" applyBorder="1" applyAlignment="1"/>
    <xf numFmtId="49" fontId="7" fillId="0" borderId="23" xfId="2" applyNumberFormat="1" applyFont="1" applyFill="1" applyBorder="1" applyAlignment="1">
      <alignment horizontal="left"/>
    </xf>
    <xf numFmtId="49" fontId="7" fillId="0" borderId="21" xfId="2" applyNumberFormat="1" applyFont="1" applyFill="1" applyBorder="1" applyAlignment="1">
      <alignment horizontal="left"/>
    </xf>
    <xf numFmtId="0" fontId="1" fillId="0" borderId="15" xfId="2" applyBorder="1" applyAlignment="1">
      <alignment horizontal="right" vertical="center"/>
    </xf>
    <xf numFmtId="0" fontId="1" fillId="0" borderId="17" xfId="2" applyBorder="1" applyAlignment="1">
      <alignment horizontal="right" vertical="center"/>
    </xf>
    <xf numFmtId="2" fontId="1" fillId="0" borderId="36" xfId="2" applyNumberFormat="1" applyBorder="1" applyAlignment="1">
      <alignment horizontal="right" vertical="center"/>
    </xf>
    <xf numFmtId="2" fontId="1" fillId="0" borderId="44" xfId="2" applyNumberFormat="1" applyBorder="1" applyAlignment="1">
      <alignment horizontal="right" vertical="center"/>
    </xf>
    <xf numFmtId="0" fontId="4" fillId="0" borderId="0" xfId="0" applyFont="1" applyBorder="1" applyAlignment="1"/>
    <xf numFmtId="0" fontId="4" fillId="0" borderId="0" xfId="1" applyFont="1" applyBorder="1" applyAlignment="1"/>
    <xf numFmtId="0" fontId="1" fillId="0" borderId="0" xfId="1" applyBorder="1" applyAlignment="1"/>
    <xf numFmtId="49" fontId="8" fillId="0" borderId="17" xfId="2" applyNumberFormat="1" applyFont="1" applyFill="1" applyBorder="1" applyAlignment="1">
      <alignment horizontal="left"/>
    </xf>
  </cellXfs>
  <cellStyles count="3">
    <cellStyle name="normální" xfId="0" builtinId="0"/>
    <cellStyle name="normální 2" xfId="2"/>
    <cellStyle name="normální_Rozbory 2014" xfId="1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selection activeCell="E1" sqref="E1"/>
    </sheetView>
  </sheetViews>
  <sheetFormatPr defaultRowHeight="15"/>
  <cols>
    <col min="1" max="2" width="12.7109375" customWidth="1"/>
    <col min="3" max="3" width="54.85546875" customWidth="1"/>
    <col min="4" max="4" width="39.7109375" customWidth="1"/>
    <col min="5" max="7" width="14.7109375" customWidth="1"/>
  </cols>
  <sheetData>
    <row r="1" spans="1:7">
      <c r="E1" t="s">
        <v>419</v>
      </c>
    </row>
    <row r="2" spans="1:7">
      <c r="E2" t="s">
        <v>416</v>
      </c>
    </row>
    <row r="3" spans="1:7">
      <c r="E3" s="357" t="s">
        <v>417</v>
      </c>
      <c r="F3" s="357"/>
      <c r="G3" s="357"/>
    </row>
    <row r="4" spans="1:7">
      <c r="A4" s="54"/>
      <c r="B4" s="54"/>
      <c r="C4" s="54"/>
      <c r="D4" s="54"/>
      <c r="E4" s="660"/>
      <c r="F4" s="634"/>
      <c r="G4" s="634"/>
    </row>
    <row r="5" spans="1:7" ht="21">
      <c r="A5" s="665" t="s">
        <v>418</v>
      </c>
      <c r="B5" s="666"/>
      <c r="C5" s="666"/>
      <c r="D5" s="666"/>
      <c r="E5" s="666"/>
      <c r="F5" s="667"/>
      <c r="G5" s="667"/>
    </row>
    <row r="6" spans="1:7">
      <c r="A6" s="54"/>
      <c r="B6" s="54"/>
      <c r="C6" s="54"/>
      <c r="D6" s="54"/>
      <c r="E6" s="54"/>
      <c r="F6" s="54"/>
      <c r="G6" s="54"/>
    </row>
    <row r="7" spans="1:7" ht="15.75">
      <c r="A7" s="668" t="s">
        <v>316</v>
      </c>
      <c r="B7" s="669"/>
      <c r="C7" s="669"/>
      <c r="D7" s="669"/>
      <c r="E7" s="669"/>
      <c r="F7" s="667"/>
      <c r="G7" s="667"/>
    </row>
    <row r="8" spans="1:7" ht="15.75">
      <c r="A8" s="670" t="s">
        <v>313</v>
      </c>
      <c r="B8" s="669"/>
      <c r="C8" s="669"/>
      <c r="D8" s="669"/>
      <c r="E8" s="669"/>
      <c r="F8" s="667"/>
      <c r="G8" s="667"/>
    </row>
    <row r="9" spans="1:7" ht="15.75">
      <c r="A9" s="670" t="s">
        <v>312</v>
      </c>
      <c r="B9" s="669"/>
      <c r="C9" s="669"/>
      <c r="D9" s="669"/>
      <c r="E9" s="669"/>
      <c r="F9" s="667"/>
      <c r="G9" s="667"/>
    </row>
    <row r="10" spans="1:7" ht="15.75">
      <c r="A10" s="670" t="s">
        <v>311</v>
      </c>
      <c r="B10" s="669"/>
      <c r="C10" s="669"/>
      <c r="D10" s="669"/>
      <c r="E10" s="669"/>
      <c r="F10" s="667"/>
      <c r="G10" s="667"/>
    </row>
    <row r="11" spans="1:7" ht="15.75">
      <c r="A11" s="625"/>
      <c r="B11" s="626"/>
      <c r="C11" s="627"/>
      <c r="D11" s="628"/>
      <c r="E11" s="629"/>
      <c r="F11" s="54"/>
      <c r="G11" s="54"/>
    </row>
    <row r="12" spans="1:7" ht="18.75" thickBot="1">
      <c r="A12" s="630" t="s">
        <v>0</v>
      </c>
      <c r="B12" s="631"/>
      <c r="C12" s="629"/>
      <c r="D12" s="628"/>
      <c r="E12" s="632"/>
      <c r="F12" s="54"/>
      <c r="G12" s="633" t="s">
        <v>398</v>
      </c>
    </row>
    <row r="13" spans="1:7" ht="15" customHeight="1">
      <c r="A13" s="80" t="s">
        <v>1</v>
      </c>
      <c r="B13" s="81" t="s">
        <v>2</v>
      </c>
      <c r="C13" s="82" t="s">
        <v>3</v>
      </c>
      <c r="D13" s="83"/>
      <c r="E13" s="81" t="s">
        <v>4</v>
      </c>
      <c r="F13" s="81" t="s">
        <v>308</v>
      </c>
      <c r="G13" s="397" t="s">
        <v>309</v>
      </c>
    </row>
    <row r="14" spans="1:7">
      <c r="A14" s="135" t="s">
        <v>5</v>
      </c>
      <c r="B14" s="84" t="s">
        <v>6</v>
      </c>
      <c r="C14" s="85" t="s">
        <v>7</v>
      </c>
      <c r="D14" s="86" t="s">
        <v>8</v>
      </c>
      <c r="E14" s="84" t="s">
        <v>397</v>
      </c>
      <c r="F14" s="84" t="s">
        <v>273</v>
      </c>
      <c r="G14" s="398" t="s">
        <v>315</v>
      </c>
    </row>
    <row r="15" spans="1:7" ht="15.75" thickBot="1">
      <c r="A15" s="87" t="s">
        <v>9</v>
      </c>
      <c r="B15" s="88" t="s">
        <v>10</v>
      </c>
      <c r="C15" s="89"/>
      <c r="D15" s="90"/>
      <c r="E15" s="88" t="s">
        <v>245</v>
      </c>
      <c r="F15" s="88" t="s">
        <v>314</v>
      </c>
      <c r="G15" s="399" t="s">
        <v>310</v>
      </c>
    </row>
    <row r="16" spans="1:7" ht="15.75">
      <c r="A16" s="91" t="s">
        <v>11</v>
      </c>
      <c r="B16" s="92"/>
      <c r="C16" s="93"/>
      <c r="D16" s="94"/>
      <c r="E16" s="408"/>
      <c r="F16" s="372"/>
      <c r="G16" s="380"/>
    </row>
    <row r="17" spans="1:7">
      <c r="A17" s="151" t="s">
        <v>336</v>
      </c>
      <c r="B17" s="152" t="s">
        <v>337</v>
      </c>
      <c r="C17" s="153"/>
      <c r="D17" s="152"/>
      <c r="E17" s="160">
        <f>SUM(E19:E20)</f>
        <v>2000</v>
      </c>
      <c r="F17" s="370">
        <f>SUM(F19:F20)</f>
        <v>1530</v>
      </c>
      <c r="G17" s="400">
        <f>(F17/E17)*100</f>
        <v>76.5</v>
      </c>
    </row>
    <row r="18" spans="1:7">
      <c r="A18" s="184"/>
      <c r="B18" s="152"/>
      <c r="C18" s="155" t="s">
        <v>340</v>
      </c>
      <c r="D18" s="152"/>
      <c r="E18" s="160"/>
      <c r="F18" s="370"/>
      <c r="G18" s="400"/>
    </row>
    <row r="19" spans="1:7" ht="15.75">
      <c r="A19" s="286"/>
      <c r="B19" s="287"/>
      <c r="C19" s="157" t="s">
        <v>352</v>
      </c>
      <c r="D19" s="157" t="s">
        <v>12</v>
      </c>
      <c r="E19" s="161">
        <v>2000</v>
      </c>
      <c r="F19" s="373">
        <v>1500</v>
      </c>
      <c r="G19" s="401">
        <f>(F19/E19)*100</f>
        <v>75</v>
      </c>
    </row>
    <row r="20" spans="1:7">
      <c r="A20" s="346"/>
      <c r="B20" s="289"/>
      <c r="C20" s="157" t="s">
        <v>414</v>
      </c>
      <c r="D20" s="157" t="s">
        <v>12</v>
      </c>
      <c r="E20" s="150"/>
      <c r="F20" s="373">
        <v>30</v>
      </c>
      <c r="G20" s="401"/>
    </row>
    <row r="21" spans="1:7" ht="15.75">
      <c r="A21" s="286"/>
      <c r="B21" s="287"/>
      <c r="C21" s="157"/>
      <c r="D21" s="288"/>
      <c r="E21" s="150"/>
      <c r="F21" s="373"/>
      <c r="G21" s="400"/>
    </row>
    <row r="22" spans="1:7">
      <c r="A22" s="190" t="s">
        <v>13</v>
      </c>
      <c r="B22" s="663" t="s">
        <v>290</v>
      </c>
      <c r="C22" s="663"/>
      <c r="D22" s="664"/>
      <c r="E22" s="298">
        <f>SUM(E23:E25)</f>
        <v>1400</v>
      </c>
      <c r="F22" s="409">
        <f>SUM(F23:F25)</f>
        <v>1200</v>
      </c>
      <c r="G22" s="400">
        <f>(F22/E22)*100</f>
        <v>85.714285714285708</v>
      </c>
    </row>
    <row r="23" spans="1:7">
      <c r="A23" s="185"/>
      <c r="B23" s="289"/>
      <c r="C23" s="157" t="s">
        <v>14</v>
      </c>
      <c r="D23" s="157" t="s">
        <v>12</v>
      </c>
      <c r="E23" s="150">
        <v>500</v>
      </c>
      <c r="F23" s="373">
        <v>200</v>
      </c>
      <c r="G23" s="401">
        <f>(F23/E23)*100</f>
        <v>40</v>
      </c>
    </row>
    <row r="24" spans="1:7">
      <c r="A24" s="290"/>
      <c r="B24" s="289"/>
      <c r="C24" s="157" t="s">
        <v>15</v>
      </c>
      <c r="D24" s="157" t="s">
        <v>12</v>
      </c>
      <c r="E24" s="150">
        <v>800</v>
      </c>
      <c r="F24" s="373">
        <v>1000</v>
      </c>
      <c r="G24" s="401">
        <f>(F24/E24)*100</f>
        <v>125</v>
      </c>
    </row>
    <row r="25" spans="1:7">
      <c r="A25" s="290"/>
      <c r="B25" s="289"/>
      <c r="C25" s="157" t="s">
        <v>16</v>
      </c>
      <c r="D25" s="157" t="s">
        <v>12</v>
      </c>
      <c r="E25" s="148">
        <v>100</v>
      </c>
      <c r="F25" s="373"/>
      <c r="G25" s="401">
        <f>(F25/E25)*100</f>
        <v>0</v>
      </c>
    </row>
    <row r="26" spans="1:7">
      <c r="A26" s="337"/>
      <c r="B26" s="338"/>
      <c r="C26" s="339"/>
      <c r="D26" s="157"/>
      <c r="E26" s="148"/>
      <c r="F26" s="373"/>
      <c r="G26" s="401"/>
    </row>
    <row r="27" spans="1:7">
      <c r="A27" s="190" t="s">
        <v>13</v>
      </c>
      <c r="B27" s="661" t="s">
        <v>317</v>
      </c>
      <c r="C27" s="662"/>
      <c r="D27" s="157"/>
      <c r="E27" s="344">
        <v>0</v>
      </c>
      <c r="F27" s="370">
        <f>SUM(F29:F31)</f>
        <v>3581</v>
      </c>
      <c r="G27" s="401"/>
    </row>
    <row r="28" spans="1:7">
      <c r="A28" s="290"/>
      <c r="B28" s="233"/>
      <c r="C28" s="233" t="s">
        <v>318</v>
      </c>
      <c r="D28" s="119"/>
      <c r="E28" s="150"/>
      <c r="F28" s="373"/>
      <c r="G28" s="401"/>
    </row>
    <row r="29" spans="1:7">
      <c r="A29" s="346"/>
      <c r="B29" s="349"/>
      <c r="C29" s="157" t="s">
        <v>371</v>
      </c>
      <c r="D29" s="157" t="s">
        <v>12</v>
      </c>
      <c r="E29" s="150"/>
      <c r="F29" s="373">
        <v>1179</v>
      </c>
      <c r="G29" s="401"/>
    </row>
    <row r="30" spans="1:7">
      <c r="A30" s="346"/>
      <c r="B30" s="347"/>
      <c r="C30" s="157" t="s">
        <v>415</v>
      </c>
      <c r="D30" s="157" t="s">
        <v>12</v>
      </c>
      <c r="E30" s="150"/>
      <c r="F30" s="373">
        <v>2100</v>
      </c>
      <c r="G30" s="402"/>
    </row>
    <row r="31" spans="1:7">
      <c r="A31" s="346"/>
      <c r="B31" s="347"/>
      <c r="C31" s="157" t="s">
        <v>343</v>
      </c>
      <c r="D31" s="157" t="s">
        <v>12</v>
      </c>
      <c r="E31" s="150"/>
      <c r="F31" s="373">
        <v>302</v>
      </c>
      <c r="G31" s="401"/>
    </row>
    <row r="32" spans="1:7">
      <c r="A32" s="346"/>
      <c r="B32" s="348"/>
      <c r="C32" s="289"/>
      <c r="D32" s="157"/>
      <c r="E32" s="150"/>
      <c r="F32" s="373"/>
      <c r="G32" s="401"/>
    </row>
    <row r="33" spans="1:7">
      <c r="A33" s="190" t="s">
        <v>291</v>
      </c>
      <c r="B33" s="229" t="s">
        <v>271</v>
      </c>
      <c r="C33" s="230"/>
      <c r="D33" s="157"/>
      <c r="E33" s="160">
        <f>SUM(E34:E39)</f>
        <v>180</v>
      </c>
      <c r="F33" s="370">
        <f>SUM(F34:F39)</f>
        <v>100</v>
      </c>
      <c r="G33" s="400">
        <f t="shared" ref="G33:G40" si="0">(F33/E33)*100</f>
        <v>55.555555555555557</v>
      </c>
    </row>
    <row r="34" spans="1:7">
      <c r="A34" s="291"/>
      <c r="B34" s="292"/>
      <c r="C34" s="157" t="s">
        <v>17</v>
      </c>
      <c r="D34" s="157" t="s">
        <v>18</v>
      </c>
      <c r="E34" s="148">
        <v>30</v>
      </c>
      <c r="F34" s="373"/>
      <c r="G34" s="401">
        <f t="shared" si="0"/>
        <v>0</v>
      </c>
    </row>
    <row r="35" spans="1:7">
      <c r="A35" s="291"/>
      <c r="B35" s="292"/>
      <c r="C35" s="157"/>
      <c r="D35" s="157" t="s">
        <v>19</v>
      </c>
      <c r="E35" s="148"/>
      <c r="F35" s="373"/>
      <c r="G35" s="401"/>
    </row>
    <row r="36" spans="1:7">
      <c r="A36" s="184"/>
      <c r="B36" s="293"/>
      <c r="C36" s="157" t="s">
        <v>372</v>
      </c>
      <c r="D36" s="157" t="s">
        <v>18</v>
      </c>
      <c r="E36" s="148">
        <v>50</v>
      </c>
      <c r="F36" s="373"/>
      <c r="G36" s="401">
        <f t="shared" si="0"/>
        <v>0</v>
      </c>
    </row>
    <row r="37" spans="1:7">
      <c r="A37" s="294"/>
      <c r="B37" s="293"/>
      <c r="C37" s="157"/>
      <c r="D37" s="157" t="s">
        <v>19</v>
      </c>
      <c r="E37" s="148"/>
      <c r="F37" s="373"/>
      <c r="G37" s="401"/>
    </row>
    <row r="38" spans="1:7">
      <c r="A38" s="294"/>
      <c r="B38" s="293"/>
      <c r="C38" s="157" t="s">
        <v>20</v>
      </c>
      <c r="D38" s="157" t="s">
        <v>18</v>
      </c>
      <c r="E38" s="148">
        <v>100</v>
      </c>
      <c r="F38" s="373">
        <v>100</v>
      </c>
      <c r="G38" s="401">
        <f t="shared" si="0"/>
        <v>100</v>
      </c>
    </row>
    <row r="39" spans="1:7" ht="15.75" thickBot="1">
      <c r="A39" s="403"/>
      <c r="B39" s="293"/>
      <c r="C39" s="404"/>
      <c r="D39" s="405" t="s">
        <v>19</v>
      </c>
      <c r="E39" s="406"/>
      <c r="F39" s="410"/>
      <c r="G39" s="407"/>
    </row>
    <row r="40" spans="1:7" ht="16.5" thickBot="1">
      <c r="A40" s="295" t="s">
        <v>21</v>
      </c>
      <c r="B40" s="296"/>
      <c r="C40" s="297"/>
      <c r="D40" s="297"/>
      <c r="E40" s="299">
        <f>E22+E33+E17+E27</f>
        <v>3580</v>
      </c>
      <c r="F40" s="411">
        <f>F22+F33+F17+F27</f>
        <v>6411</v>
      </c>
      <c r="G40" s="427">
        <f t="shared" si="0"/>
        <v>179.07821229050279</v>
      </c>
    </row>
    <row r="41" spans="1:7">
      <c r="A41" s="95"/>
      <c r="B41" s="76"/>
      <c r="C41" s="96"/>
      <c r="D41" s="76"/>
      <c r="E41" s="77"/>
    </row>
    <row r="42" spans="1:7">
      <c r="C42" s="54"/>
      <c r="D42" s="54"/>
    </row>
  </sheetData>
  <mergeCells count="7">
    <mergeCell ref="B27:C27"/>
    <mergeCell ref="B22:D22"/>
    <mergeCell ref="A5:G5"/>
    <mergeCell ref="A7:G7"/>
    <mergeCell ref="A8:G8"/>
    <mergeCell ref="A9:G9"/>
    <mergeCell ref="A10:G10"/>
  </mergeCells>
  <pageMargins left="0.23622047244094491" right="0" top="0.35433070866141736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60"/>
  <sheetViews>
    <sheetView workbookViewId="0">
      <selection activeCell="G23" sqref="G23"/>
    </sheetView>
  </sheetViews>
  <sheetFormatPr defaultRowHeight="15"/>
  <cols>
    <col min="1" max="2" width="12.7109375" customWidth="1"/>
    <col min="3" max="3" width="47.7109375" customWidth="1"/>
    <col min="4" max="4" width="45.140625" customWidth="1"/>
    <col min="5" max="7" width="14.7109375" customWidth="1"/>
  </cols>
  <sheetData>
    <row r="2" spans="1:7" ht="15.75">
      <c r="A2" s="78" t="s">
        <v>22</v>
      </c>
      <c r="B2" s="77"/>
      <c r="C2" s="77"/>
      <c r="D2" s="70"/>
      <c r="E2" s="77"/>
    </row>
    <row r="3" spans="1:7" ht="15.75" thickBot="1">
      <c r="A3" s="77"/>
      <c r="B3" s="77"/>
      <c r="C3" s="77"/>
      <c r="D3" s="70" t="s">
        <v>23</v>
      </c>
      <c r="E3" s="79"/>
      <c r="G3" s="479" t="s">
        <v>399</v>
      </c>
    </row>
    <row r="4" spans="1:7">
      <c r="A4" s="97" t="s">
        <v>1</v>
      </c>
      <c r="B4" s="81" t="s">
        <v>2</v>
      </c>
      <c r="C4" s="98" t="s">
        <v>3</v>
      </c>
      <c r="D4" s="83"/>
      <c r="E4" s="81" t="s">
        <v>4</v>
      </c>
      <c r="F4" s="81" t="s">
        <v>308</v>
      </c>
      <c r="G4" s="397" t="s">
        <v>309</v>
      </c>
    </row>
    <row r="5" spans="1:7">
      <c r="A5" s="99" t="s">
        <v>5</v>
      </c>
      <c r="B5" s="84" t="s">
        <v>6</v>
      </c>
      <c r="C5" s="100" t="s">
        <v>7</v>
      </c>
      <c r="D5" s="86" t="s">
        <v>8</v>
      </c>
      <c r="E5" s="84" t="s">
        <v>397</v>
      </c>
      <c r="F5" s="84" t="s">
        <v>273</v>
      </c>
      <c r="G5" s="398" t="s">
        <v>315</v>
      </c>
    </row>
    <row r="6" spans="1:7" ht="15.75" thickBot="1">
      <c r="A6" s="101" t="s">
        <v>9</v>
      </c>
      <c r="B6" s="88" t="s">
        <v>10</v>
      </c>
      <c r="C6" s="102"/>
      <c r="D6" s="90"/>
      <c r="E6" s="88" t="s">
        <v>245</v>
      </c>
      <c r="F6" s="88" t="s">
        <v>314</v>
      </c>
      <c r="G6" s="399" t="s">
        <v>310</v>
      </c>
    </row>
    <row r="7" spans="1:7" ht="15.75">
      <c r="A7" s="281" t="s">
        <v>11</v>
      </c>
      <c r="B7" s="282"/>
      <c r="C7" s="283"/>
      <c r="D7" s="284"/>
      <c r="E7" s="280"/>
      <c r="F7" s="413"/>
      <c r="G7" s="380"/>
    </row>
    <row r="8" spans="1:7">
      <c r="A8" s="170" t="s">
        <v>24</v>
      </c>
      <c r="B8" s="272" t="s">
        <v>288</v>
      </c>
      <c r="C8" s="171"/>
      <c r="D8" s="171"/>
      <c r="E8" s="187">
        <f>SUM(E9:E16)</f>
        <v>55901</v>
      </c>
      <c r="F8" s="414">
        <f>SUM(F9:F17)</f>
        <v>51500</v>
      </c>
      <c r="G8" s="400">
        <f>(F8/E8)*100</f>
        <v>92.127153360405003</v>
      </c>
    </row>
    <row r="9" spans="1:7">
      <c r="A9" s="172"/>
      <c r="B9" s="173"/>
      <c r="C9" s="173" t="s">
        <v>25</v>
      </c>
      <c r="D9" s="173" t="s">
        <v>26</v>
      </c>
      <c r="E9" s="164">
        <v>4600</v>
      </c>
      <c r="F9" s="415">
        <v>3500</v>
      </c>
      <c r="G9" s="401">
        <f t="shared" ref="G9:G23" si="0">(F9/E9)*100</f>
        <v>76.08695652173914</v>
      </c>
    </row>
    <row r="10" spans="1:7">
      <c r="A10" s="175"/>
      <c r="B10" s="173"/>
      <c r="C10" s="173" t="s">
        <v>289</v>
      </c>
      <c r="D10" s="173" t="s">
        <v>27</v>
      </c>
      <c r="E10" s="354">
        <v>6101</v>
      </c>
      <c r="F10" s="415">
        <v>3900</v>
      </c>
      <c r="G10" s="401">
        <f t="shared" si="0"/>
        <v>63.923946893951808</v>
      </c>
    </row>
    <row r="11" spans="1:7">
      <c r="A11" s="175"/>
      <c r="B11" s="173"/>
      <c r="C11" s="173" t="s">
        <v>357</v>
      </c>
      <c r="D11" s="173" t="s">
        <v>27</v>
      </c>
      <c r="E11" s="354"/>
      <c r="F11" s="415">
        <v>1900</v>
      </c>
      <c r="G11" s="401"/>
    </row>
    <row r="12" spans="1:7">
      <c r="A12" s="175"/>
      <c r="B12" s="173"/>
      <c r="C12" s="173" t="s">
        <v>28</v>
      </c>
      <c r="D12" s="173" t="s">
        <v>29</v>
      </c>
      <c r="E12" s="164">
        <v>200</v>
      </c>
      <c r="F12" s="415">
        <v>200</v>
      </c>
      <c r="G12" s="401">
        <f t="shared" si="0"/>
        <v>100</v>
      </c>
    </row>
    <row r="13" spans="1:7">
      <c r="A13" s="175"/>
      <c r="B13" s="173"/>
      <c r="C13" s="173" t="s">
        <v>30</v>
      </c>
      <c r="D13" s="173" t="s">
        <v>31</v>
      </c>
      <c r="E13" s="164">
        <v>1000</v>
      </c>
      <c r="F13" s="415">
        <v>1000</v>
      </c>
      <c r="G13" s="401">
        <f t="shared" si="0"/>
        <v>100</v>
      </c>
    </row>
    <row r="14" spans="1:7">
      <c r="A14" s="273"/>
      <c r="B14" s="237"/>
      <c r="C14" s="173" t="s">
        <v>32</v>
      </c>
      <c r="D14" s="173" t="s">
        <v>33</v>
      </c>
      <c r="E14" s="354">
        <v>40000</v>
      </c>
      <c r="F14" s="415">
        <v>39500</v>
      </c>
      <c r="G14" s="401">
        <f t="shared" si="0"/>
        <v>98.75</v>
      </c>
    </row>
    <row r="15" spans="1:7">
      <c r="A15" s="177"/>
      <c r="B15" s="178"/>
      <c r="C15" s="157" t="s">
        <v>326</v>
      </c>
      <c r="D15" s="348" t="s">
        <v>33</v>
      </c>
      <c r="E15" s="149"/>
      <c r="F15" s="416">
        <v>500</v>
      </c>
      <c r="G15" s="401"/>
    </row>
    <row r="16" spans="1:7">
      <c r="A16" s="177"/>
      <c r="B16" s="178"/>
      <c r="C16" s="179" t="s">
        <v>34</v>
      </c>
      <c r="D16" s="179" t="s">
        <v>35</v>
      </c>
      <c r="E16" s="164">
        <v>4000</v>
      </c>
      <c r="F16" s="415"/>
      <c r="G16" s="401">
        <f t="shared" si="0"/>
        <v>0</v>
      </c>
    </row>
    <row r="17" spans="1:7">
      <c r="A17" s="273"/>
      <c r="B17" s="178"/>
      <c r="C17" s="179" t="s">
        <v>356</v>
      </c>
      <c r="D17" s="179" t="s">
        <v>35</v>
      </c>
      <c r="E17" s="147"/>
      <c r="F17" s="415">
        <v>1000</v>
      </c>
      <c r="G17" s="401"/>
    </row>
    <row r="18" spans="1:7">
      <c r="A18" s="495"/>
      <c r="B18" s="178"/>
      <c r="C18" s="179"/>
      <c r="D18" s="496"/>
      <c r="E18" s="147"/>
      <c r="F18" s="415"/>
      <c r="G18" s="401"/>
    </row>
    <row r="19" spans="1:7">
      <c r="A19" s="151" t="s">
        <v>348</v>
      </c>
      <c r="B19" s="152" t="s">
        <v>337</v>
      </c>
      <c r="C19" s="153"/>
      <c r="D19" s="393"/>
      <c r="E19" s="162">
        <f>E22</f>
        <v>250</v>
      </c>
      <c r="F19" s="417">
        <v>0</v>
      </c>
      <c r="G19" s="400">
        <f t="shared" si="0"/>
        <v>0</v>
      </c>
    </row>
    <row r="20" spans="1:7">
      <c r="A20" s="184"/>
      <c r="B20" s="393"/>
      <c r="C20" s="155" t="s">
        <v>341</v>
      </c>
      <c r="D20" s="274"/>
      <c r="E20" s="279"/>
      <c r="F20" s="415"/>
      <c r="G20" s="401"/>
    </row>
    <row r="21" spans="1:7">
      <c r="A21" s="275"/>
      <c r="B21" s="276"/>
      <c r="C21" s="277" t="s">
        <v>373</v>
      </c>
      <c r="D21" s="278"/>
      <c r="E21" s="183"/>
      <c r="F21" s="418"/>
      <c r="G21" s="412"/>
    </row>
    <row r="22" spans="1:7" ht="15.75" thickBot="1">
      <c r="A22" s="275"/>
      <c r="B22" s="276"/>
      <c r="C22" s="214" t="s">
        <v>36</v>
      </c>
      <c r="D22" s="422" t="s">
        <v>33</v>
      </c>
      <c r="E22" s="226">
        <v>250</v>
      </c>
      <c r="F22" s="419"/>
      <c r="G22" s="519">
        <f>F22/E22*100</f>
        <v>0</v>
      </c>
    </row>
    <row r="23" spans="1:7" ht="16.5" thickBot="1">
      <c r="A23" s="671" t="s">
        <v>21</v>
      </c>
      <c r="B23" s="672"/>
      <c r="C23" s="673"/>
      <c r="D23" s="221"/>
      <c r="E23" s="189">
        <f>E8+E19</f>
        <v>56151</v>
      </c>
      <c r="F23" s="189">
        <f>F8+F19</f>
        <v>51500</v>
      </c>
      <c r="G23" s="427">
        <f t="shared" si="0"/>
        <v>91.716977435842637</v>
      </c>
    </row>
    <row r="24" spans="1:7" ht="15.75">
      <c r="A24" s="222"/>
      <c r="B24" s="222"/>
      <c r="C24" s="222"/>
      <c r="D24" s="223"/>
      <c r="E24" s="224"/>
    </row>
    <row r="25" spans="1:7">
      <c r="B25" s="300"/>
      <c r="C25" s="300"/>
    </row>
    <row r="56" ht="30.75" customHeight="1"/>
    <row r="60" ht="27" customHeight="1"/>
  </sheetData>
  <mergeCells count="1">
    <mergeCell ref="A23:C23"/>
  </mergeCells>
  <pageMargins left="0.19685039370078741" right="0" top="0.39370078740157483" bottom="0" header="0" footer="0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2"/>
  <sheetViews>
    <sheetView zoomScaleNormal="100" workbookViewId="0">
      <selection activeCell="G23" sqref="G23"/>
    </sheetView>
  </sheetViews>
  <sheetFormatPr defaultRowHeight="15"/>
  <cols>
    <col min="1" max="2" width="12.7109375" customWidth="1"/>
    <col min="3" max="3" width="56.140625" customWidth="1"/>
    <col min="4" max="4" width="39.7109375" customWidth="1"/>
    <col min="5" max="7" width="14.7109375" customWidth="1"/>
  </cols>
  <sheetData>
    <row r="1" spans="1:7" ht="18">
      <c r="C1" s="2"/>
    </row>
    <row r="2" spans="1:7" ht="15.75">
      <c r="A2" s="1" t="s">
        <v>37</v>
      </c>
    </row>
    <row r="3" spans="1:7" ht="16.5" thickBot="1">
      <c r="A3" s="77"/>
      <c r="B3" s="78"/>
      <c r="C3" s="77"/>
      <c r="D3" s="77"/>
      <c r="E3" s="79"/>
      <c r="G3" s="479" t="s">
        <v>400</v>
      </c>
    </row>
    <row r="4" spans="1:7">
      <c r="A4" s="97" t="s">
        <v>1</v>
      </c>
      <c r="B4" s="81" t="s">
        <v>2</v>
      </c>
      <c r="C4" s="98" t="s">
        <v>3</v>
      </c>
      <c r="D4" s="81"/>
      <c r="E4" s="81" t="s">
        <v>4</v>
      </c>
      <c r="F4" s="81" t="s">
        <v>308</v>
      </c>
      <c r="G4" s="397" t="s">
        <v>309</v>
      </c>
    </row>
    <row r="5" spans="1:7">
      <c r="A5" s="99" t="s">
        <v>5</v>
      </c>
      <c r="B5" s="84" t="s">
        <v>6</v>
      </c>
      <c r="C5" s="100" t="s">
        <v>7</v>
      </c>
      <c r="D5" s="86" t="s">
        <v>8</v>
      </c>
      <c r="E5" s="84" t="s">
        <v>397</v>
      </c>
      <c r="F5" s="84" t="s">
        <v>273</v>
      </c>
      <c r="G5" s="398" t="s">
        <v>315</v>
      </c>
    </row>
    <row r="6" spans="1:7" ht="15.75" thickBot="1">
      <c r="A6" s="101" t="s">
        <v>9</v>
      </c>
      <c r="B6" s="88" t="s">
        <v>10</v>
      </c>
      <c r="C6" s="102"/>
      <c r="D6" s="90"/>
      <c r="E6" s="88" t="s">
        <v>245</v>
      </c>
      <c r="F6" s="88" t="s">
        <v>314</v>
      </c>
      <c r="G6" s="399" t="s">
        <v>310</v>
      </c>
    </row>
    <row r="7" spans="1:7" ht="15.75">
      <c r="A7" s="423" t="s">
        <v>11</v>
      </c>
      <c r="B7" s="424"/>
      <c r="C7" s="93"/>
      <c r="D7" s="425"/>
      <c r="E7" s="280"/>
      <c r="F7" s="374"/>
      <c r="G7" s="420"/>
    </row>
    <row r="8" spans="1:7">
      <c r="A8" s="198" t="s">
        <v>38</v>
      </c>
      <c r="B8" s="517" t="s">
        <v>39</v>
      </c>
      <c r="C8" s="518"/>
      <c r="D8" s="267"/>
      <c r="E8" s="225">
        <f>SUM(E9+E10+E12+E13+E19+E20+E21)</f>
        <v>33705</v>
      </c>
      <c r="F8" s="225">
        <f>SUM(F9+F12+F17+F19+F20+F21+F22+F23+F24+F25+F26+F27)</f>
        <v>21805</v>
      </c>
      <c r="G8" s="400">
        <f>(F8/E8)*100</f>
        <v>64.693665628245071</v>
      </c>
    </row>
    <row r="9" spans="1:7">
      <c r="A9" s="242"/>
      <c r="B9" s="248"/>
      <c r="C9" s="268" t="s">
        <v>40</v>
      </c>
      <c r="D9" s="194" t="s">
        <v>41</v>
      </c>
      <c r="E9" s="164">
        <v>11105</v>
      </c>
      <c r="F9" s="317">
        <v>11105</v>
      </c>
      <c r="G9" s="401">
        <f t="shared" ref="G9:G28" si="0">(F9/E9)*100</f>
        <v>100</v>
      </c>
    </row>
    <row r="10" spans="1:7">
      <c r="A10" s="242"/>
      <c r="B10" s="178"/>
      <c r="C10" s="679" t="s">
        <v>380</v>
      </c>
      <c r="D10" s="681" t="s">
        <v>42</v>
      </c>
      <c r="E10" s="674">
        <v>7000</v>
      </c>
      <c r="F10" s="674"/>
      <c r="G10" s="676"/>
    </row>
    <row r="11" spans="1:7">
      <c r="A11" s="195"/>
      <c r="B11" s="315"/>
      <c r="C11" s="680"/>
      <c r="D11" s="682"/>
      <c r="E11" s="675"/>
      <c r="F11" s="675"/>
      <c r="G11" s="677"/>
    </row>
    <row r="12" spans="1:7">
      <c r="A12" s="195"/>
      <c r="B12" s="315"/>
      <c r="C12" s="192" t="s">
        <v>43</v>
      </c>
      <c r="D12" s="194" t="s">
        <v>42</v>
      </c>
      <c r="E12" s="149">
        <v>500</v>
      </c>
      <c r="F12" s="376"/>
      <c r="G12" s="401"/>
    </row>
    <row r="13" spans="1:7">
      <c r="A13" s="175"/>
      <c r="B13" s="237"/>
      <c r="C13" s="192" t="s">
        <v>30</v>
      </c>
      <c r="D13" s="194" t="s">
        <v>42</v>
      </c>
      <c r="E13" s="164">
        <f>SUM(E14+E15+E16+E17+E18)</f>
        <v>4800</v>
      </c>
      <c r="F13" s="164">
        <f t="shared" ref="F13" si="1">SUM(F14+F15+F16+F17+F18)</f>
        <v>2000</v>
      </c>
      <c r="G13" s="401">
        <f t="shared" si="0"/>
        <v>41.666666666666671</v>
      </c>
    </row>
    <row r="14" spans="1:7">
      <c r="A14" s="175"/>
      <c r="B14" s="334" t="s">
        <v>299</v>
      </c>
      <c r="C14" s="325" t="s">
        <v>298</v>
      </c>
      <c r="D14" s="327" t="s">
        <v>42</v>
      </c>
      <c r="E14" s="328">
        <v>500</v>
      </c>
      <c r="F14" s="166"/>
      <c r="G14" s="472"/>
    </row>
    <row r="15" spans="1:7">
      <c r="A15" s="175"/>
      <c r="B15" s="333" t="s">
        <v>300</v>
      </c>
      <c r="C15" s="326" t="s">
        <v>304</v>
      </c>
      <c r="D15" s="332" t="s">
        <v>42</v>
      </c>
      <c r="E15" s="256">
        <v>2300</v>
      </c>
      <c r="F15" s="166"/>
      <c r="G15" s="472"/>
    </row>
    <row r="16" spans="1:7">
      <c r="A16" s="175"/>
      <c r="B16" s="334" t="s">
        <v>301</v>
      </c>
      <c r="C16" s="329" t="s">
        <v>305</v>
      </c>
      <c r="D16" s="327" t="s">
        <v>42</v>
      </c>
      <c r="E16" s="330">
        <v>1000</v>
      </c>
      <c r="F16" s="166"/>
      <c r="G16" s="472"/>
    </row>
    <row r="17" spans="1:10">
      <c r="A17" s="175"/>
      <c r="B17" s="333" t="s">
        <v>302</v>
      </c>
      <c r="C17" s="331" t="s">
        <v>306</v>
      </c>
      <c r="D17" s="332" t="s">
        <v>42</v>
      </c>
      <c r="E17" s="256">
        <v>800</v>
      </c>
      <c r="F17" s="256">
        <v>2000</v>
      </c>
      <c r="G17" s="472">
        <f t="shared" si="0"/>
        <v>250</v>
      </c>
    </row>
    <row r="18" spans="1:10">
      <c r="A18" s="175"/>
      <c r="B18" s="333" t="s">
        <v>303</v>
      </c>
      <c r="C18" s="331" t="s">
        <v>307</v>
      </c>
      <c r="D18" s="327" t="s">
        <v>42</v>
      </c>
      <c r="E18" s="256">
        <v>200</v>
      </c>
      <c r="F18" s="166"/>
      <c r="G18" s="472"/>
    </row>
    <row r="19" spans="1:10">
      <c r="A19" s="175"/>
      <c r="B19" s="334"/>
      <c r="C19" s="270" t="s">
        <v>44</v>
      </c>
      <c r="D19" s="173" t="s">
        <v>42</v>
      </c>
      <c r="E19" s="324">
        <v>300</v>
      </c>
      <c r="F19" s="317">
        <v>500</v>
      </c>
      <c r="G19" s="401">
        <f t="shared" si="0"/>
        <v>166.66666666666669</v>
      </c>
    </row>
    <row r="20" spans="1:10" ht="15" customHeight="1">
      <c r="A20" s="175"/>
      <c r="B20" s="237"/>
      <c r="C20" s="268" t="s">
        <v>286</v>
      </c>
      <c r="D20" s="194" t="s">
        <v>41</v>
      </c>
      <c r="E20" s="164">
        <v>8000</v>
      </c>
      <c r="F20" s="376"/>
      <c r="G20" s="401">
        <f t="shared" si="0"/>
        <v>0</v>
      </c>
    </row>
    <row r="21" spans="1:10" ht="15" customHeight="1">
      <c r="A21" s="175"/>
      <c r="B21" s="237"/>
      <c r="C21" s="268" t="s">
        <v>287</v>
      </c>
      <c r="D21" s="194" t="s">
        <v>42</v>
      </c>
      <c r="E21" s="164">
        <v>2000</v>
      </c>
      <c r="F21" s="317">
        <v>2500</v>
      </c>
      <c r="G21" s="401">
        <f t="shared" si="0"/>
        <v>125</v>
      </c>
    </row>
    <row r="22" spans="1:10" ht="15" customHeight="1">
      <c r="A22" s="175"/>
      <c r="B22" s="237"/>
      <c r="C22" s="268" t="s">
        <v>374</v>
      </c>
      <c r="D22" s="157" t="s">
        <v>42</v>
      </c>
      <c r="E22" s="164"/>
      <c r="F22" s="317">
        <v>2000</v>
      </c>
      <c r="G22" s="401"/>
    </row>
    <row r="23" spans="1:10" ht="15" customHeight="1">
      <c r="A23" s="175"/>
      <c r="B23" s="237"/>
      <c r="C23" s="268" t="s">
        <v>375</v>
      </c>
      <c r="D23" s="157" t="s">
        <v>42</v>
      </c>
      <c r="E23" s="164"/>
      <c r="F23" s="317">
        <v>2000</v>
      </c>
      <c r="G23" s="401"/>
      <c r="J23" s="426"/>
    </row>
    <row r="24" spans="1:10" ht="15" customHeight="1">
      <c r="A24" s="175"/>
      <c r="B24" s="237"/>
      <c r="C24" s="268" t="s">
        <v>376</v>
      </c>
      <c r="D24" s="157" t="s">
        <v>42</v>
      </c>
      <c r="E24" s="164"/>
      <c r="F24" s="317">
        <v>500</v>
      </c>
      <c r="G24" s="401"/>
    </row>
    <row r="25" spans="1:10" ht="15" customHeight="1">
      <c r="A25" s="175"/>
      <c r="B25" s="237"/>
      <c r="C25" s="268" t="s">
        <v>377</v>
      </c>
      <c r="D25" s="157" t="s">
        <v>42</v>
      </c>
      <c r="E25" s="164"/>
      <c r="F25" s="317">
        <v>500</v>
      </c>
      <c r="G25" s="401"/>
    </row>
    <row r="26" spans="1:10" ht="15" customHeight="1">
      <c r="A26" s="175"/>
      <c r="B26" s="237"/>
      <c r="C26" s="268" t="s">
        <v>378</v>
      </c>
      <c r="D26" s="157" t="s">
        <v>42</v>
      </c>
      <c r="E26" s="164"/>
      <c r="F26" s="317">
        <v>500</v>
      </c>
      <c r="G26" s="401"/>
    </row>
    <row r="27" spans="1:10" ht="28.5" customHeight="1" thickBot="1">
      <c r="A27" s="242"/>
      <c r="B27" s="391"/>
      <c r="C27" s="392" t="s">
        <v>379</v>
      </c>
      <c r="D27" s="497" t="s">
        <v>42</v>
      </c>
      <c r="E27" s="188"/>
      <c r="F27" s="499">
        <v>200</v>
      </c>
      <c r="G27" s="401"/>
    </row>
    <row r="28" spans="1:10" ht="15" customHeight="1" thickBot="1">
      <c r="A28" s="678" t="s">
        <v>21</v>
      </c>
      <c r="B28" s="672"/>
      <c r="C28" s="673"/>
      <c r="D28" s="498"/>
      <c r="E28" s="189">
        <f>E8</f>
        <v>33705</v>
      </c>
      <c r="F28" s="189">
        <f>F8</f>
        <v>21805</v>
      </c>
      <c r="G28" s="427">
        <f t="shared" si="0"/>
        <v>64.693665628245071</v>
      </c>
    </row>
    <row r="29" spans="1:10">
      <c r="A29" s="649"/>
      <c r="B29" s="357"/>
      <c r="C29" s="357"/>
      <c r="D29" s="357"/>
      <c r="E29" s="357"/>
    </row>
    <row r="30" spans="1:10">
      <c r="A30" s="357"/>
      <c r="B30" s="351"/>
      <c r="C30" s="351"/>
      <c r="D30" s="357"/>
      <c r="E30" s="357"/>
    </row>
    <row r="32" spans="1:10">
      <c r="A32" s="77"/>
      <c r="B32" s="77"/>
      <c r="C32" s="77"/>
      <c r="D32" s="77"/>
      <c r="E32" s="77"/>
    </row>
  </sheetData>
  <mergeCells count="6">
    <mergeCell ref="F10:F11"/>
    <mergeCell ref="G10:G11"/>
    <mergeCell ref="A28:C28"/>
    <mergeCell ref="C10:C11"/>
    <mergeCell ref="D10:D11"/>
    <mergeCell ref="E10:E11"/>
  </mergeCells>
  <pageMargins left="0.31496062992125984" right="0" top="0.39370078740157483" bottom="0.39370078740157483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45"/>
  <sheetViews>
    <sheetView topLeftCell="A118" zoomScaleNormal="100" workbookViewId="0">
      <selection activeCell="G23" sqref="G23"/>
    </sheetView>
  </sheetViews>
  <sheetFormatPr defaultRowHeight="15"/>
  <cols>
    <col min="1" max="2" width="12.7109375" customWidth="1"/>
    <col min="3" max="3" width="43.85546875" customWidth="1"/>
    <col min="4" max="4" width="40" customWidth="1"/>
    <col min="5" max="5" width="14.7109375" style="75" customWidth="1"/>
    <col min="6" max="7" width="14.7109375" customWidth="1"/>
  </cols>
  <sheetData>
    <row r="1" spans="1:7" ht="15.75">
      <c r="A1" s="18" t="s">
        <v>45</v>
      </c>
      <c r="B1" s="19"/>
      <c r="C1" s="19"/>
      <c r="D1" s="19"/>
      <c r="E1" s="103"/>
    </row>
    <row r="2" spans="1:7" ht="16.5" thickBot="1">
      <c r="A2" s="133"/>
      <c r="B2" s="18"/>
      <c r="C2" s="133"/>
      <c r="D2" s="133"/>
      <c r="E2" s="20"/>
      <c r="G2" s="479" t="s">
        <v>401</v>
      </c>
    </row>
    <row r="3" spans="1:7">
      <c r="A3" s="21" t="s">
        <v>1</v>
      </c>
      <c r="B3" s="22" t="s">
        <v>2</v>
      </c>
      <c r="C3" s="23" t="s">
        <v>3</v>
      </c>
      <c r="D3" s="24"/>
      <c r="E3" s="81" t="s">
        <v>4</v>
      </c>
      <c r="F3" s="81" t="s">
        <v>308</v>
      </c>
      <c r="G3" s="397" t="s">
        <v>309</v>
      </c>
    </row>
    <row r="4" spans="1:7">
      <c r="A4" s="25" t="s">
        <v>5</v>
      </c>
      <c r="B4" s="26" t="s">
        <v>6</v>
      </c>
      <c r="C4" s="27" t="s">
        <v>7</v>
      </c>
      <c r="D4" s="28" t="s">
        <v>8</v>
      </c>
      <c r="E4" s="84" t="s">
        <v>397</v>
      </c>
      <c r="F4" s="84" t="s">
        <v>273</v>
      </c>
      <c r="G4" s="398" t="s">
        <v>315</v>
      </c>
    </row>
    <row r="5" spans="1:7" ht="15.75" thickBot="1">
      <c r="A5" s="29" t="s">
        <v>9</v>
      </c>
      <c r="B5" s="30" t="s">
        <v>10</v>
      </c>
      <c r="C5" s="31"/>
      <c r="D5" s="266"/>
      <c r="E5" s="88" t="s">
        <v>245</v>
      </c>
      <c r="F5" s="88" t="s">
        <v>314</v>
      </c>
      <c r="G5" s="399" t="s">
        <v>310</v>
      </c>
    </row>
    <row r="6" spans="1:7" ht="15.75">
      <c r="A6" s="429" t="s">
        <v>11</v>
      </c>
      <c r="B6" s="430"/>
      <c r="C6" s="430"/>
      <c r="D6" s="431"/>
      <c r="E6" s="431"/>
      <c r="F6" s="428"/>
      <c r="G6" s="420"/>
    </row>
    <row r="7" spans="1:7" ht="15.75">
      <c r="A7" s="170" t="s">
        <v>46</v>
      </c>
      <c r="B7" s="240" t="s">
        <v>47</v>
      </c>
      <c r="C7" s="199"/>
      <c r="D7" s="255"/>
      <c r="E7" s="187">
        <f>E8+E60+E131+E133+E136</f>
        <v>180179</v>
      </c>
      <c r="F7" s="369">
        <f>F8+F60+F131+F133+F136</f>
        <v>170167</v>
      </c>
      <c r="G7" s="400">
        <f>(F7/E7)*100</f>
        <v>94.443303603638611</v>
      </c>
    </row>
    <row r="8" spans="1:7">
      <c r="A8" s="242"/>
      <c r="B8" s="248"/>
      <c r="C8" s="251" t="s">
        <v>48</v>
      </c>
      <c r="D8" s="322"/>
      <c r="E8" s="162">
        <v>40420</v>
      </c>
      <c r="F8" s="377">
        <f>F9+F12+F14+F16+F18+F20+F22+F25+F27+F30+F33+F35+F37+F39+F41+F43+F45+F48</f>
        <v>35019</v>
      </c>
      <c r="G8" s="400">
        <f>(F8/E8)*100</f>
        <v>86.637803067788226</v>
      </c>
    </row>
    <row r="9" spans="1:7">
      <c r="A9" s="175"/>
      <c r="B9" s="249" t="s">
        <v>49</v>
      </c>
      <c r="C9" s="252" t="s">
        <v>407</v>
      </c>
      <c r="D9" s="173" t="s">
        <v>50</v>
      </c>
      <c r="E9" s="164">
        <v>4330</v>
      </c>
      <c r="F9" s="432">
        <f>4224-11</f>
        <v>4213</v>
      </c>
      <c r="G9" s="401">
        <f>(F9/E9)*100</f>
        <v>97.297921478060047</v>
      </c>
    </row>
    <row r="10" spans="1:7">
      <c r="A10" s="175"/>
      <c r="B10" s="249"/>
      <c r="C10" s="385" t="s">
        <v>409</v>
      </c>
      <c r="D10" s="173"/>
      <c r="E10" s="164"/>
      <c r="F10" s="433">
        <f>1425-11</f>
        <v>1414</v>
      </c>
      <c r="G10" s="401"/>
    </row>
    <row r="11" spans="1:7">
      <c r="A11" s="175"/>
      <c r="B11" s="249"/>
      <c r="C11" s="385" t="s">
        <v>358</v>
      </c>
      <c r="D11" s="173"/>
      <c r="E11" s="164"/>
      <c r="F11" s="433">
        <v>1200</v>
      </c>
      <c r="G11" s="401"/>
    </row>
    <row r="12" spans="1:7">
      <c r="A12" s="175"/>
      <c r="B12" s="249" t="s">
        <v>51</v>
      </c>
      <c r="C12" s="253" t="s">
        <v>52</v>
      </c>
      <c r="D12" s="173" t="s">
        <v>50</v>
      </c>
      <c r="E12" s="164">
        <v>2455</v>
      </c>
      <c r="F12" s="432">
        <f>1726-153</f>
        <v>1573</v>
      </c>
      <c r="G12" s="401">
        <f>(F12/E12)*100</f>
        <v>64.073319755600807</v>
      </c>
    </row>
    <row r="13" spans="1:7">
      <c r="A13" s="175"/>
      <c r="B13" s="249"/>
      <c r="C13" s="385" t="s">
        <v>409</v>
      </c>
      <c r="D13" s="173"/>
      <c r="E13" s="164"/>
      <c r="F13" s="433">
        <f>661-153</f>
        <v>508</v>
      </c>
      <c r="G13" s="401"/>
    </row>
    <row r="14" spans="1:7">
      <c r="A14" s="175"/>
      <c r="B14" s="249" t="s">
        <v>53</v>
      </c>
      <c r="C14" s="254" t="s">
        <v>54</v>
      </c>
      <c r="D14" s="173" t="s">
        <v>50</v>
      </c>
      <c r="E14" s="164">
        <v>2700</v>
      </c>
      <c r="F14" s="432">
        <f>2038-11</f>
        <v>2027</v>
      </c>
      <c r="G14" s="401">
        <f>(F14/E14)*100</f>
        <v>75.074074074074076</v>
      </c>
    </row>
    <row r="15" spans="1:7">
      <c r="A15" s="175"/>
      <c r="B15" s="249"/>
      <c r="C15" s="385" t="s">
        <v>409</v>
      </c>
      <c r="D15" s="173"/>
      <c r="E15" s="164"/>
      <c r="F15" s="433">
        <f>1006-11</f>
        <v>995</v>
      </c>
      <c r="G15" s="401"/>
    </row>
    <row r="16" spans="1:7">
      <c r="A16" s="175"/>
      <c r="B16" s="249" t="s">
        <v>55</v>
      </c>
      <c r="C16" s="253" t="s">
        <v>56</v>
      </c>
      <c r="D16" s="173" t="s">
        <v>50</v>
      </c>
      <c r="E16" s="164">
        <v>2400</v>
      </c>
      <c r="F16" s="432">
        <f>1421-7</f>
        <v>1414</v>
      </c>
      <c r="G16" s="401">
        <f>(F16/E16)*100</f>
        <v>58.916666666666664</v>
      </c>
    </row>
    <row r="17" spans="1:7">
      <c r="A17" s="175"/>
      <c r="B17" s="249"/>
      <c r="C17" s="385" t="s">
        <v>409</v>
      </c>
      <c r="D17" s="173"/>
      <c r="E17" s="164"/>
      <c r="F17" s="433">
        <f>782-7</f>
        <v>775</v>
      </c>
      <c r="G17" s="401"/>
    </row>
    <row r="18" spans="1:7">
      <c r="A18" s="175"/>
      <c r="B18" s="249" t="s">
        <v>57</v>
      </c>
      <c r="C18" s="253" t="s">
        <v>58</v>
      </c>
      <c r="D18" s="173" t="s">
        <v>50</v>
      </c>
      <c r="E18" s="164">
        <v>1675</v>
      </c>
      <c r="F18" s="432">
        <f>1512-197</f>
        <v>1315</v>
      </c>
      <c r="G18" s="401">
        <f>(F18/E18)*100</f>
        <v>78.507462686567166</v>
      </c>
    </row>
    <row r="19" spans="1:7">
      <c r="A19" s="175"/>
      <c r="B19" s="249"/>
      <c r="C19" s="385" t="s">
        <v>409</v>
      </c>
      <c r="D19" s="173"/>
      <c r="E19" s="164"/>
      <c r="F19" s="433">
        <f>815-197</f>
        <v>618</v>
      </c>
      <c r="G19" s="401"/>
    </row>
    <row r="20" spans="1:7">
      <c r="A20" s="175"/>
      <c r="B20" s="249" t="s">
        <v>59</v>
      </c>
      <c r="C20" s="253" t="s">
        <v>60</v>
      </c>
      <c r="D20" s="173" t="s">
        <v>50</v>
      </c>
      <c r="E20" s="164">
        <v>1715</v>
      </c>
      <c r="F20" s="432">
        <f>1547-154</f>
        <v>1393</v>
      </c>
      <c r="G20" s="401">
        <f>(F20/E20)*100</f>
        <v>81.224489795918359</v>
      </c>
    </row>
    <row r="21" spans="1:7">
      <c r="A21" s="175"/>
      <c r="B21" s="249"/>
      <c r="C21" s="385" t="s">
        <v>409</v>
      </c>
      <c r="D21" s="173"/>
      <c r="E21" s="164"/>
      <c r="F21" s="433">
        <f>773-154</f>
        <v>619</v>
      </c>
      <c r="G21" s="401"/>
    </row>
    <row r="22" spans="1:7">
      <c r="A22" s="175"/>
      <c r="B22" s="249" t="s">
        <v>61</v>
      </c>
      <c r="C22" s="253" t="s">
        <v>62</v>
      </c>
      <c r="D22" s="173" t="s">
        <v>50</v>
      </c>
      <c r="E22" s="164">
        <v>2700</v>
      </c>
      <c r="F22" s="432">
        <f>2714-10</f>
        <v>2704</v>
      </c>
      <c r="G22" s="401">
        <f>(F22/E22)*100</f>
        <v>100.14814814814814</v>
      </c>
    </row>
    <row r="23" spans="1:7">
      <c r="A23" s="175"/>
      <c r="B23" s="249"/>
      <c r="C23" s="385" t="s">
        <v>409</v>
      </c>
      <c r="D23" s="173"/>
      <c r="E23" s="164"/>
      <c r="F23" s="433">
        <f>1147-10</f>
        <v>1137</v>
      </c>
      <c r="G23" s="401"/>
    </row>
    <row r="24" spans="1:7">
      <c r="A24" s="175"/>
      <c r="B24" s="249"/>
      <c r="C24" s="385" t="s">
        <v>354</v>
      </c>
      <c r="D24" s="173"/>
      <c r="E24" s="164"/>
      <c r="F24" s="433">
        <v>68</v>
      </c>
      <c r="G24" s="401"/>
    </row>
    <row r="25" spans="1:7">
      <c r="A25" s="175"/>
      <c r="B25" s="249" t="s">
        <v>63</v>
      </c>
      <c r="C25" s="253" t="s">
        <v>64</v>
      </c>
      <c r="D25" s="173" t="s">
        <v>50</v>
      </c>
      <c r="E25" s="164">
        <v>1830</v>
      </c>
      <c r="F25" s="432">
        <f>1891-70</f>
        <v>1821</v>
      </c>
      <c r="G25" s="401">
        <f>(F25/E25)*100</f>
        <v>99.508196721311464</v>
      </c>
    </row>
    <row r="26" spans="1:7">
      <c r="A26" s="175"/>
      <c r="B26" s="249"/>
      <c r="C26" s="385" t="s">
        <v>409</v>
      </c>
      <c r="D26" s="173"/>
      <c r="E26" s="164"/>
      <c r="F26" s="433">
        <f>933-70</f>
        <v>863</v>
      </c>
      <c r="G26" s="401"/>
    </row>
    <row r="27" spans="1:7">
      <c r="A27" s="175"/>
      <c r="B27" s="249" t="s">
        <v>65</v>
      </c>
      <c r="C27" s="253" t="s">
        <v>66</v>
      </c>
      <c r="D27" s="173" t="s">
        <v>50</v>
      </c>
      <c r="E27" s="164">
        <v>2310</v>
      </c>
      <c r="F27" s="432">
        <f>2261-8</f>
        <v>2253</v>
      </c>
      <c r="G27" s="401">
        <f>(F27/E27)*100</f>
        <v>97.532467532467535</v>
      </c>
    </row>
    <row r="28" spans="1:7">
      <c r="A28" s="175"/>
      <c r="B28" s="249"/>
      <c r="C28" s="385" t="s">
        <v>355</v>
      </c>
      <c r="D28" s="173"/>
      <c r="E28" s="164"/>
      <c r="F28" s="433">
        <v>166</v>
      </c>
      <c r="G28" s="401"/>
    </row>
    <row r="29" spans="1:7">
      <c r="A29" s="175"/>
      <c r="B29" s="249"/>
      <c r="C29" s="385" t="s">
        <v>410</v>
      </c>
      <c r="D29" s="173"/>
      <c r="E29" s="164"/>
      <c r="F29" s="433">
        <f>994-8</f>
        <v>986</v>
      </c>
      <c r="G29" s="401"/>
    </row>
    <row r="30" spans="1:7">
      <c r="A30" s="175"/>
      <c r="B30" s="249" t="s">
        <v>67</v>
      </c>
      <c r="C30" s="253" t="s">
        <v>68</v>
      </c>
      <c r="D30" s="173" t="s">
        <v>50</v>
      </c>
      <c r="E30" s="164">
        <v>1910</v>
      </c>
      <c r="F30" s="432">
        <f>1332-6</f>
        <v>1326</v>
      </c>
      <c r="G30" s="401">
        <f>(F30/E30)*100</f>
        <v>69.424083769633498</v>
      </c>
    </row>
    <row r="31" spans="1:7">
      <c r="A31" s="175"/>
      <c r="B31" s="249"/>
      <c r="C31" s="385" t="s">
        <v>355</v>
      </c>
      <c r="D31" s="173"/>
      <c r="E31" s="164"/>
      <c r="F31" s="433">
        <v>65</v>
      </c>
      <c r="G31" s="401"/>
    </row>
    <row r="32" spans="1:7">
      <c r="A32" s="175"/>
      <c r="B32" s="249"/>
      <c r="C32" s="385" t="s">
        <v>410</v>
      </c>
      <c r="D32" s="173"/>
      <c r="E32" s="164"/>
      <c r="F32" s="433">
        <f>531-6</f>
        <v>525</v>
      </c>
      <c r="G32" s="401"/>
    </row>
    <row r="33" spans="1:7">
      <c r="A33" s="175"/>
      <c r="B33" s="249" t="s">
        <v>69</v>
      </c>
      <c r="C33" s="253" t="s">
        <v>70</v>
      </c>
      <c r="D33" s="173" t="s">
        <v>50</v>
      </c>
      <c r="E33" s="164">
        <v>1690</v>
      </c>
      <c r="F33" s="432">
        <f>1333-197</f>
        <v>1136</v>
      </c>
      <c r="G33" s="401">
        <f>(F33/E33)*100</f>
        <v>67.218934911242599</v>
      </c>
    </row>
    <row r="34" spans="1:7">
      <c r="A34" s="175"/>
      <c r="B34" s="249"/>
      <c r="C34" s="385" t="s">
        <v>409</v>
      </c>
      <c r="D34" s="173"/>
      <c r="E34" s="164"/>
      <c r="F34" s="433">
        <f>707-197</f>
        <v>510</v>
      </c>
      <c r="G34" s="401"/>
    </row>
    <row r="35" spans="1:7">
      <c r="A35" s="175"/>
      <c r="B35" s="249" t="s">
        <v>71</v>
      </c>
      <c r="C35" s="253" t="s">
        <v>72</v>
      </c>
      <c r="D35" s="173" t="s">
        <v>50</v>
      </c>
      <c r="E35" s="164">
        <v>1820</v>
      </c>
      <c r="F35" s="432">
        <f>1930-14</f>
        <v>1916</v>
      </c>
      <c r="G35" s="401">
        <f>(F35/E35)*100</f>
        <v>105.27472527472528</v>
      </c>
    </row>
    <row r="36" spans="1:7">
      <c r="A36" s="175"/>
      <c r="B36" s="249"/>
      <c r="C36" s="385" t="s">
        <v>411</v>
      </c>
      <c r="D36" s="173"/>
      <c r="E36" s="164"/>
      <c r="F36" s="433">
        <f>1078-14</f>
        <v>1064</v>
      </c>
      <c r="G36" s="401"/>
    </row>
    <row r="37" spans="1:7">
      <c r="A37" s="175"/>
      <c r="B37" s="249" t="s">
        <v>73</v>
      </c>
      <c r="C37" s="253" t="s">
        <v>74</v>
      </c>
      <c r="D37" s="173" t="s">
        <v>50</v>
      </c>
      <c r="E37" s="164">
        <v>1610</v>
      </c>
      <c r="F37" s="432">
        <f>1389-7</f>
        <v>1382</v>
      </c>
      <c r="G37" s="401">
        <f>(F37/E37)*100</f>
        <v>85.838509316770185</v>
      </c>
    </row>
    <row r="38" spans="1:7">
      <c r="A38" s="175"/>
      <c r="B38" s="249"/>
      <c r="C38" s="385" t="s">
        <v>409</v>
      </c>
      <c r="D38" s="173"/>
      <c r="E38" s="164"/>
      <c r="F38" s="433">
        <f>678-7</f>
        <v>671</v>
      </c>
      <c r="G38" s="401"/>
    </row>
    <row r="39" spans="1:7">
      <c r="A39" s="175"/>
      <c r="B39" s="249" t="s">
        <v>75</v>
      </c>
      <c r="C39" s="253" t="s">
        <v>76</v>
      </c>
      <c r="D39" s="173" t="s">
        <v>50</v>
      </c>
      <c r="E39" s="164">
        <v>1680</v>
      </c>
      <c r="F39" s="432">
        <f>1384-3</f>
        <v>1381</v>
      </c>
      <c r="G39" s="401">
        <f>(F39/E39)*100</f>
        <v>82.202380952380949</v>
      </c>
    </row>
    <row r="40" spans="1:7">
      <c r="A40" s="175"/>
      <c r="B40" s="249"/>
      <c r="C40" s="385" t="s">
        <v>409</v>
      </c>
      <c r="D40" s="173"/>
      <c r="E40" s="164"/>
      <c r="F40" s="433">
        <f>648-3</f>
        <v>645</v>
      </c>
      <c r="G40" s="401"/>
    </row>
    <row r="41" spans="1:7">
      <c r="A41" s="175"/>
      <c r="B41" s="249" t="s">
        <v>77</v>
      </c>
      <c r="C41" s="253" t="s">
        <v>78</v>
      </c>
      <c r="D41" s="173" t="s">
        <v>50</v>
      </c>
      <c r="E41" s="164">
        <v>2660</v>
      </c>
      <c r="F41" s="432">
        <f>2173-7</f>
        <v>2166</v>
      </c>
      <c r="G41" s="401">
        <f>(F41/E41)*100</f>
        <v>81.428571428571431</v>
      </c>
    </row>
    <row r="42" spans="1:7">
      <c r="A42" s="175"/>
      <c r="B42" s="249"/>
      <c r="C42" s="385" t="s">
        <v>409</v>
      </c>
      <c r="D42" s="173"/>
      <c r="E42" s="164"/>
      <c r="F42" s="433">
        <f>898-7</f>
        <v>891</v>
      </c>
      <c r="G42" s="401"/>
    </row>
    <row r="43" spans="1:7">
      <c r="A43" s="175"/>
      <c r="B43" s="249" t="s">
        <v>79</v>
      </c>
      <c r="C43" s="253" t="s">
        <v>80</v>
      </c>
      <c r="D43" s="173" t="s">
        <v>50</v>
      </c>
      <c r="E43" s="164">
        <v>2040</v>
      </c>
      <c r="F43" s="432">
        <f>1933-8</f>
        <v>1925</v>
      </c>
      <c r="G43" s="401">
        <f>(F43/E43)*100</f>
        <v>94.362745098039213</v>
      </c>
    </row>
    <row r="44" spans="1:7">
      <c r="A44" s="175"/>
      <c r="B44" s="249"/>
      <c r="C44" s="385" t="s">
        <v>409</v>
      </c>
      <c r="D44" s="173"/>
      <c r="E44" s="164"/>
      <c r="F44" s="433">
        <f>928-8</f>
        <v>920</v>
      </c>
      <c r="G44" s="401"/>
    </row>
    <row r="45" spans="1:7">
      <c r="A45" s="175"/>
      <c r="B45" s="249" t="s">
        <v>81</v>
      </c>
      <c r="C45" s="253" t="s">
        <v>82</v>
      </c>
      <c r="D45" s="173" t="s">
        <v>50</v>
      </c>
      <c r="E45" s="164">
        <v>2145</v>
      </c>
      <c r="F45" s="432">
        <f>1748-49</f>
        <v>1699</v>
      </c>
      <c r="G45" s="401">
        <f>(F45/E45)*100</f>
        <v>79.207459207459209</v>
      </c>
    </row>
    <row r="46" spans="1:7">
      <c r="A46" s="175"/>
      <c r="B46" s="249"/>
      <c r="C46" s="385" t="s">
        <v>409</v>
      </c>
      <c r="D46" s="173"/>
      <c r="E46" s="164"/>
      <c r="F46" s="433">
        <f>409-49</f>
        <v>360</v>
      </c>
      <c r="G46" s="401"/>
    </row>
    <row r="47" spans="1:7">
      <c r="A47" s="175"/>
      <c r="B47" s="249"/>
      <c r="C47" s="385" t="s">
        <v>361</v>
      </c>
      <c r="D47" s="173"/>
      <c r="E47" s="164"/>
      <c r="F47" s="432">
        <v>250</v>
      </c>
      <c r="G47" s="401"/>
    </row>
    <row r="48" spans="1:7">
      <c r="A48" s="175"/>
      <c r="B48" s="249" t="s">
        <v>83</v>
      </c>
      <c r="C48" s="253" t="s">
        <v>84</v>
      </c>
      <c r="D48" s="173" t="s">
        <v>50</v>
      </c>
      <c r="E48" s="164">
        <v>2750</v>
      </c>
      <c r="F48" s="432">
        <f>3380-5</f>
        <v>3375</v>
      </c>
      <c r="G48" s="401">
        <f>(F48/E48)*100</f>
        <v>122.72727272727273</v>
      </c>
    </row>
    <row r="49" spans="1:7">
      <c r="A49" s="175"/>
      <c r="B49" s="249"/>
      <c r="C49" s="385" t="s">
        <v>409</v>
      </c>
      <c r="D49" s="173"/>
      <c r="E49" s="164"/>
      <c r="F49" s="434">
        <f>1192-5</f>
        <v>1187</v>
      </c>
      <c r="G49" s="400"/>
    </row>
    <row r="50" spans="1:7" ht="15.75" thickBot="1">
      <c r="A50" s="386"/>
      <c r="B50" s="285"/>
      <c r="C50" s="387" t="s">
        <v>359</v>
      </c>
      <c r="D50" s="220"/>
      <c r="E50" s="388"/>
      <c r="F50" s="435">
        <v>75</v>
      </c>
      <c r="G50" s="436"/>
    </row>
    <row r="51" spans="1:7">
      <c r="E51"/>
    </row>
    <row r="52" spans="1:7">
      <c r="E52"/>
    </row>
    <row r="53" spans="1:7">
      <c r="E53" s="648"/>
      <c r="F53" s="648"/>
    </row>
    <row r="54" spans="1:7">
      <c r="E54"/>
    </row>
    <row r="55" spans="1:7">
      <c r="E55"/>
    </row>
    <row r="56" spans="1:7" ht="15.75" thickBot="1">
      <c r="E56"/>
      <c r="G56" s="479" t="s">
        <v>363</v>
      </c>
    </row>
    <row r="57" spans="1:7">
      <c r="A57" s="32" t="s">
        <v>1</v>
      </c>
      <c r="B57" s="33" t="s">
        <v>2</v>
      </c>
      <c r="C57" s="34" t="s">
        <v>3</v>
      </c>
      <c r="D57" s="35"/>
      <c r="E57" s="81" t="s">
        <v>4</v>
      </c>
      <c r="F57" s="81" t="s">
        <v>308</v>
      </c>
      <c r="G57" s="397" t="s">
        <v>309</v>
      </c>
    </row>
    <row r="58" spans="1:7">
      <c r="A58" s="36" t="s">
        <v>5</v>
      </c>
      <c r="B58" s="37" t="s">
        <v>6</v>
      </c>
      <c r="C58" s="38" t="s">
        <v>7</v>
      </c>
      <c r="D58" s="39" t="s">
        <v>8</v>
      </c>
      <c r="E58" s="84" t="s">
        <v>397</v>
      </c>
      <c r="F58" s="84" t="s">
        <v>273</v>
      </c>
      <c r="G58" s="398" t="s">
        <v>315</v>
      </c>
    </row>
    <row r="59" spans="1:7" ht="15.75" thickBot="1">
      <c r="A59" s="40" t="s">
        <v>9</v>
      </c>
      <c r="B59" s="41" t="s">
        <v>10</v>
      </c>
      <c r="C59" s="42"/>
      <c r="D59" s="43"/>
      <c r="E59" s="88" t="s">
        <v>245</v>
      </c>
      <c r="F59" s="88" t="s">
        <v>314</v>
      </c>
      <c r="G59" s="399" t="s">
        <v>310</v>
      </c>
    </row>
    <row r="60" spans="1:7">
      <c r="A60" s="190" t="s">
        <v>46</v>
      </c>
      <c r="B60" s="264"/>
      <c r="C60" s="241" t="s">
        <v>85</v>
      </c>
      <c r="D60" s="265"/>
      <c r="E60" s="441">
        <f>SUM(E61:E113)</f>
        <v>88459</v>
      </c>
      <c r="F60" s="378">
        <f>F61+F65+F69+F72+F75+F79+F83+F87+F91+F94+F98+F103+F106+F109+F113</f>
        <v>83848</v>
      </c>
      <c r="G60" s="400">
        <f>(F60/E60)*100</f>
        <v>94.787415638883559</v>
      </c>
    </row>
    <row r="61" spans="1:7" ht="12.95" customHeight="1">
      <c r="A61" s="257"/>
      <c r="B61" s="258" t="s">
        <v>86</v>
      </c>
      <c r="C61" s="250" t="s">
        <v>87</v>
      </c>
      <c r="D61" s="174" t="s">
        <v>88</v>
      </c>
      <c r="E61" s="437">
        <v>5200</v>
      </c>
      <c r="F61" s="371">
        <f>5037-6</f>
        <v>5031</v>
      </c>
      <c r="G61" s="401">
        <f>(F61/E61)*100</f>
        <v>96.75</v>
      </c>
    </row>
    <row r="62" spans="1:7" ht="12.95" customHeight="1">
      <c r="A62" s="257"/>
      <c r="B62" s="258"/>
      <c r="C62" s="382" t="s">
        <v>353</v>
      </c>
      <c r="D62" s="383"/>
      <c r="E62" s="438"/>
      <c r="F62" s="384">
        <v>66</v>
      </c>
      <c r="G62" s="401"/>
    </row>
    <row r="63" spans="1:7" ht="12.95" customHeight="1">
      <c r="A63" s="257"/>
      <c r="B63" s="258"/>
      <c r="C63" s="382" t="s">
        <v>354</v>
      </c>
      <c r="D63" s="383"/>
      <c r="E63" s="438"/>
      <c r="F63" s="384">
        <v>89</v>
      </c>
      <c r="G63" s="401"/>
    </row>
    <row r="64" spans="1:7" ht="12.95" customHeight="1">
      <c r="A64" s="257"/>
      <c r="B64" s="258"/>
      <c r="C64" s="385" t="s">
        <v>412</v>
      </c>
      <c r="D64" s="383"/>
      <c r="E64" s="438"/>
      <c r="F64" s="384">
        <f>2932-6</f>
        <v>2926</v>
      </c>
      <c r="G64" s="401"/>
    </row>
    <row r="65" spans="1:7" ht="12.95" customHeight="1">
      <c r="A65" s="257"/>
      <c r="B65" s="258" t="s">
        <v>89</v>
      </c>
      <c r="C65" s="250" t="s">
        <v>90</v>
      </c>
      <c r="D65" s="174" t="s">
        <v>88</v>
      </c>
      <c r="E65" s="437">
        <v>5320</v>
      </c>
      <c r="F65" s="371">
        <f>5550-527</f>
        <v>5023</v>
      </c>
      <c r="G65" s="401">
        <f>(F65/E65)*100</f>
        <v>94.417293233082717</v>
      </c>
    </row>
    <row r="66" spans="1:7" ht="12.95" customHeight="1">
      <c r="A66" s="257"/>
      <c r="B66" s="258"/>
      <c r="C66" s="382" t="s">
        <v>353</v>
      </c>
      <c r="D66" s="174"/>
      <c r="E66" s="437"/>
      <c r="F66" s="384">
        <v>62</v>
      </c>
      <c r="G66" s="401"/>
    </row>
    <row r="67" spans="1:7" ht="12.95" customHeight="1">
      <c r="A67" s="257"/>
      <c r="B67" s="258"/>
      <c r="C67" s="382" t="s">
        <v>354</v>
      </c>
      <c r="D67" s="174"/>
      <c r="E67" s="437"/>
      <c r="F67" s="384">
        <v>213</v>
      </c>
      <c r="G67" s="401"/>
    </row>
    <row r="68" spans="1:7" ht="12.95" customHeight="1">
      <c r="A68" s="257"/>
      <c r="B68" s="258"/>
      <c r="C68" s="385" t="s">
        <v>413</v>
      </c>
      <c r="D68" s="174"/>
      <c r="E68" s="437"/>
      <c r="F68" s="384">
        <f>2160-527</f>
        <v>1633</v>
      </c>
      <c r="G68" s="401"/>
    </row>
    <row r="69" spans="1:7" ht="12.95" customHeight="1">
      <c r="A69" s="257"/>
      <c r="B69" s="258" t="s">
        <v>91</v>
      </c>
      <c r="C69" s="250" t="s">
        <v>92</v>
      </c>
      <c r="D69" s="174" t="s">
        <v>88</v>
      </c>
      <c r="E69" s="437">
        <v>4500</v>
      </c>
      <c r="F69" s="371">
        <f>5510-12</f>
        <v>5498</v>
      </c>
      <c r="G69" s="401">
        <f t="shared" ref="G69:G133" si="0">(F69/E69)*100</f>
        <v>122.17777777777779</v>
      </c>
    </row>
    <row r="70" spans="1:7" ht="12.95" customHeight="1">
      <c r="A70" s="257"/>
      <c r="B70" s="258"/>
      <c r="C70" s="382" t="s">
        <v>353</v>
      </c>
      <c r="D70" s="174"/>
      <c r="E70" s="437"/>
      <c r="F70" s="384">
        <v>66</v>
      </c>
      <c r="G70" s="401"/>
    </row>
    <row r="71" spans="1:7" ht="12.95" customHeight="1">
      <c r="A71" s="257"/>
      <c r="B71" s="258"/>
      <c r="C71" s="385" t="s">
        <v>410</v>
      </c>
      <c r="D71" s="174"/>
      <c r="E71" s="437"/>
      <c r="F71" s="384">
        <f>1768-12</f>
        <v>1756</v>
      </c>
      <c r="G71" s="401"/>
    </row>
    <row r="72" spans="1:7" ht="12.95" customHeight="1">
      <c r="A72" s="257"/>
      <c r="B72" s="258" t="s">
        <v>93</v>
      </c>
      <c r="C72" s="250" t="s">
        <v>94</v>
      </c>
      <c r="D72" s="174" t="s">
        <v>88</v>
      </c>
      <c r="E72" s="437">
        <v>3776</v>
      </c>
      <c r="F72" s="371">
        <f>3669-11</f>
        <v>3658</v>
      </c>
      <c r="G72" s="401">
        <f t="shared" si="0"/>
        <v>96.875</v>
      </c>
    </row>
    <row r="73" spans="1:7" ht="12.95" customHeight="1">
      <c r="A73" s="257"/>
      <c r="B73" s="258"/>
      <c r="C73" s="382" t="s">
        <v>353</v>
      </c>
      <c r="D73" s="174"/>
      <c r="E73" s="437"/>
      <c r="F73" s="384">
        <v>59</v>
      </c>
      <c r="G73" s="401"/>
    </row>
    <row r="74" spans="1:7" ht="12.95" customHeight="1">
      <c r="A74" s="257"/>
      <c r="B74" s="258"/>
      <c r="C74" s="385" t="s">
        <v>410</v>
      </c>
      <c r="D74" s="174"/>
      <c r="E74" s="437"/>
      <c r="F74" s="384">
        <f>1943-10</f>
        <v>1933</v>
      </c>
      <c r="G74" s="401"/>
    </row>
    <row r="75" spans="1:7" ht="12.95" customHeight="1">
      <c r="A75" s="257"/>
      <c r="B75" s="258" t="s">
        <v>95</v>
      </c>
      <c r="C75" s="250" t="s">
        <v>96</v>
      </c>
      <c r="D75" s="174" t="s">
        <v>88</v>
      </c>
      <c r="E75" s="437">
        <v>8126</v>
      </c>
      <c r="F75" s="371">
        <f>7860-516</f>
        <v>7344</v>
      </c>
      <c r="G75" s="401">
        <f t="shared" si="0"/>
        <v>90.376569037656907</v>
      </c>
    </row>
    <row r="76" spans="1:7" ht="12.95" customHeight="1">
      <c r="A76" s="257"/>
      <c r="B76" s="258"/>
      <c r="C76" s="382" t="s">
        <v>353</v>
      </c>
      <c r="D76" s="174"/>
      <c r="E76" s="437"/>
      <c r="F76" s="384">
        <v>94</v>
      </c>
      <c r="G76" s="401"/>
    </row>
    <row r="77" spans="1:7" ht="12.95" customHeight="1">
      <c r="A77" s="257"/>
      <c r="B77" s="258"/>
      <c r="C77" s="382" t="s">
        <v>354</v>
      </c>
      <c r="D77" s="174"/>
      <c r="E77" s="437"/>
      <c r="F77" s="384">
        <v>801</v>
      </c>
      <c r="G77" s="401"/>
    </row>
    <row r="78" spans="1:7" ht="12.95" customHeight="1">
      <c r="A78" s="257"/>
      <c r="B78" s="258"/>
      <c r="C78" s="385" t="s">
        <v>410</v>
      </c>
      <c r="D78" s="174"/>
      <c r="E78" s="437"/>
      <c r="F78" s="384">
        <f>2238-515</f>
        <v>1723</v>
      </c>
      <c r="G78" s="401"/>
    </row>
    <row r="79" spans="1:7" ht="12.95" customHeight="1">
      <c r="A79" s="257"/>
      <c r="B79" s="258" t="s">
        <v>97</v>
      </c>
      <c r="C79" s="250" t="s">
        <v>98</v>
      </c>
      <c r="D79" s="174" t="s">
        <v>88</v>
      </c>
      <c r="E79" s="437">
        <v>3700</v>
      </c>
      <c r="F79" s="371">
        <f>3220-447</f>
        <v>2773</v>
      </c>
      <c r="G79" s="401">
        <f t="shared" si="0"/>
        <v>74.945945945945951</v>
      </c>
    </row>
    <row r="80" spans="1:7" ht="12.95" customHeight="1">
      <c r="A80" s="257"/>
      <c r="B80" s="258"/>
      <c r="C80" s="382" t="s">
        <v>353</v>
      </c>
      <c r="D80" s="174"/>
      <c r="E80" s="437"/>
      <c r="F80" s="384">
        <v>35</v>
      </c>
      <c r="G80" s="401"/>
    </row>
    <row r="81" spans="1:7" ht="12.95" customHeight="1">
      <c r="A81" s="257"/>
      <c r="B81" s="258"/>
      <c r="C81" s="382" t="s">
        <v>354</v>
      </c>
      <c r="D81" s="174"/>
      <c r="E81" s="437"/>
      <c r="F81" s="384">
        <v>75</v>
      </c>
      <c r="G81" s="401"/>
    </row>
    <row r="82" spans="1:7" ht="12.95" customHeight="1">
      <c r="A82" s="257"/>
      <c r="B82" s="258"/>
      <c r="C82" s="385" t="s">
        <v>410</v>
      </c>
      <c r="D82" s="174"/>
      <c r="E82" s="437"/>
      <c r="F82" s="384">
        <f>1676-447</f>
        <v>1229</v>
      </c>
      <c r="G82" s="401"/>
    </row>
    <row r="83" spans="1:7" ht="12.95" customHeight="1">
      <c r="A83" s="257"/>
      <c r="B83" s="258" t="s">
        <v>99</v>
      </c>
      <c r="C83" s="250" t="s">
        <v>280</v>
      </c>
      <c r="D83" s="174" t="s">
        <v>88</v>
      </c>
      <c r="E83" s="437">
        <v>5870</v>
      </c>
      <c r="F83" s="371">
        <f>6743-25</f>
        <v>6718</v>
      </c>
      <c r="G83" s="401">
        <f t="shared" si="0"/>
        <v>114.44633730834752</v>
      </c>
    </row>
    <row r="84" spans="1:7" ht="12.95" customHeight="1">
      <c r="A84" s="257"/>
      <c r="B84" s="258"/>
      <c r="C84" s="382" t="s">
        <v>353</v>
      </c>
      <c r="D84" s="174"/>
      <c r="E84" s="437"/>
      <c r="F84" s="384">
        <v>87</v>
      </c>
      <c r="G84" s="401"/>
    </row>
    <row r="85" spans="1:7" ht="12.95" customHeight="1">
      <c r="A85" s="257"/>
      <c r="B85" s="258"/>
      <c r="C85" s="382" t="s">
        <v>354</v>
      </c>
      <c r="D85" s="174"/>
      <c r="E85" s="437"/>
      <c r="F85" s="384">
        <v>488</v>
      </c>
      <c r="G85" s="401"/>
    </row>
    <row r="86" spans="1:7" ht="12.95" customHeight="1">
      <c r="A86" s="257"/>
      <c r="B86" s="258"/>
      <c r="C86" s="385" t="s">
        <v>410</v>
      </c>
      <c r="D86" s="174"/>
      <c r="E86" s="437"/>
      <c r="F86" s="384">
        <f>1991-25</f>
        <v>1966</v>
      </c>
      <c r="G86" s="401"/>
    </row>
    <row r="87" spans="1:7" ht="12.95" customHeight="1">
      <c r="A87" s="257"/>
      <c r="B87" s="258" t="s">
        <v>100</v>
      </c>
      <c r="C87" s="250" t="s">
        <v>101</v>
      </c>
      <c r="D87" s="174" t="s">
        <v>88</v>
      </c>
      <c r="E87" s="437">
        <v>6291</v>
      </c>
      <c r="F87" s="371">
        <f>5720-67</f>
        <v>5653</v>
      </c>
      <c r="G87" s="401">
        <f t="shared" si="0"/>
        <v>89.858528055952945</v>
      </c>
    </row>
    <row r="88" spans="1:7" ht="12.95" customHeight="1">
      <c r="A88" s="257"/>
      <c r="B88" s="258"/>
      <c r="C88" s="382" t="s">
        <v>353</v>
      </c>
      <c r="D88" s="174"/>
      <c r="E88" s="437"/>
      <c r="F88" s="384">
        <v>94</v>
      </c>
      <c r="G88" s="401"/>
    </row>
    <row r="89" spans="1:7" ht="12.95" customHeight="1">
      <c r="A89" s="257"/>
      <c r="B89" s="258"/>
      <c r="C89" s="382" t="s">
        <v>354</v>
      </c>
      <c r="D89" s="174"/>
      <c r="E89" s="437"/>
      <c r="F89" s="384">
        <v>74</v>
      </c>
      <c r="G89" s="401"/>
    </row>
    <row r="90" spans="1:7" ht="12.95" customHeight="1">
      <c r="A90" s="257"/>
      <c r="B90" s="258"/>
      <c r="C90" s="385" t="s">
        <v>410</v>
      </c>
      <c r="D90" s="174"/>
      <c r="E90" s="437"/>
      <c r="F90" s="384">
        <f>2089-67</f>
        <v>2022</v>
      </c>
      <c r="G90" s="401"/>
    </row>
    <row r="91" spans="1:7" ht="12.95" customHeight="1">
      <c r="A91" s="257"/>
      <c r="B91" s="258" t="s">
        <v>102</v>
      </c>
      <c r="C91" s="250" t="s">
        <v>103</v>
      </c>
      <c r="D91" s="174" t="s">
        <v>88</v>
      </c>
      <c r="E91" s="437">
        <v>4815</v>
      </c>
      <c r="F91" s="371">
        <f>5093-172</f>
        <v>4921</v>
      </c>
      <c r="G91" s="401">
        <f t="shared" si="0"/>
        <v>102.20145379023884</v>
      </c>
    </row>
    <row r="92" spans="1:7" ht="12.95" customHeight="1">
      <c r="A92" s="257"/>
      <c r="B92" s="258"/>
      <c r="C92" s="382" t="s">
        <v>353</v>
      </c>
      <c r="D92" s="174"/>
      <c r="E92" s="437"/>
      <c r="F92" s="384">
        <v>56</v>
      </c>
      <c r="G92" s="401"/>
    </row>
    <row r="93" spans="1:7" ht="12.95" customHeight="1">
      <c r="A93" s="257"/>
      <c r="B93" s="258"/>
      <c r="C93" s="385" t="s">
        <v>410</v>
      </c>
      <c r="D93" s="174"/>
      <c r="E93" s="437"/>
      <c r="F93" s="384">
        <f>2336-172</f>
        <v>2164</v>
      </c>
      <c r="G93" s="401"/>
    </row>
    <row r="94" spans="1:7" ht="12.95" customHeight="1">
      <c r="A94" s="257"/>
      <c r="B94" s="258" t="s">
        <v>104</v>
      </c>
      <c r="C94" s="250" t="s">
        <v>105</v>
      </c>
      <c r="D94" s="174" t="s">
        <v>88</v>
      </c>
      <c r="E94" s="437">
        <v>4740</v>
      </c>
      <c r="F94" s="371">
        <f>4196-25</f>
        <v>4171</v>
      </c>
      <c r="G94" s="401">
        <f t="shared" si="0"/>
        <v>87.995780590717303</v>
      </c>
    </row>
    <row r="95" spans="1:7" ht="12.95" customHeight="1">
      <c r="A95" s="257"/>
      <c r="B95" s="258"/>
      <c r="C95" s="382" t="s">
        <v>353</v>
      </c>
      <c r="D95" s="174"/>
      <c r="E95" s="437"/>
      <c r="F95" s="384">
        <v>59</v>
      </c>
      <c r="G95" s="401"/>
    </row>
    <row r="96" spans="1:7" ht="12.95" customHeight="1">
      <c r="A96" s="257"/>
      <c r="B96" s="258"/>
      <c r="C96" s="382" t="s">
        <v>354</v>
      </c>
      <c r="D96" s="174"/>
      <c r="E96" s="437"/>
      <c r="F96" s="384">
        <v>189</v>
      </c>
      <c r="G96" s="401"/>
    </row>
    <row r="97" spans="1:7" ht="12.95" customHeight="1">
      <c r="A97" s="257"/>
      <c r="B97" s="258"/>
      <c r="C97" s="385" t="s">
        <v>410</v>
      </c>
      <c r="D97" s="174"/>
      <c r="E97" s="437"/>
      <c r="F97" s="384">
        <f>1761-25</f>
        <v>1736</v>
      </c>
      <c r="G97" s="401"/>
    </row>
    <row r="98" spans="1:7" ht="12.95" customHeight="1">
      <c r="A98" s="257"/>
      <c r="B98" s="258" t="s">
        <v>106</v>
      </c>
      <c r="C98" s="250" t="s">
        <v>107</v>
      </c>
      <c r="D98" s="174" t="s">
        <v>88</v>
      </c>
      <c r="E98" s="437">
        <v>5800</v>
      </c>
      <c r="F98" s="371">
        <f>6467-1</f>
        <v>6466</v>
      </c>
      <c r="G98" s="401">
        <f t="shared" si="0"/>
        <v>111.48275862068967</v>
      </c>
    </row>
    <row r="99" spans="1:7" ht="12.95" customHeight="1">
      <c r="A99" s="257"/>
      <c r="B99" s="258"/>
      <c r="C99" s="382" t="s">
        <v>353</v>
      </c>
      <c r="D99" s="174"/>
      <c r="E99" s="437"/>
      <c r="F99" s="384">
        <v>87</v>
      </c>
      <c r="G99" s="401"/>
    </row>
    <row r="100" spans="1:7" ht="12.95" customHeight="1">
      <c r="A100" s="257"/>
      <c r="B100" s="258"/>
      <c r="C100" s="382" t="s">
        <v>354</v>
      </c>
      <c r="D100" s="174"/>
      <c r="E100" s="437"/>
      <c r="F100" s="384">
        <v>197</v>
      </c>
      <c r="G100" s="401"/>
    </row>
    <row r="101" spans="1:7" ht="12.95" customHeight="1">
      <c r="A101" s="257"/>
      <c r="B101" s="258"/>
      <c r="C101" s="385" t="s">
        <v>410</v>
      </c>
      <c r="D101" s="174"/>
      <c r="E101" s="437"/>
      <c r="F101" s="384">
        <f>2660-1</f>
        <v>2659</v>
      </c>
      <c r="G101" s="401"/>
    </row>
    <row r="102" spans="1:7" ht="12.95" customHeight="1">
      <c r="A102" s="257"/>
      <c r="B102" s="258"/>
      <c r="C102" s="385" t="s">
        <v>360</v>
      </c>
      <c r="D102" s="174"/>
      <c r="E102" s="437"/>
      <c r="F102" s="384">
        <v>300</v>
      </c>
      <c r="G102" s="401"/>
    </row>
    <row r="103" spans="1:7" ht="12.95" customHeight="1">
      <c r="A103" s="257"/>
      <c r="B103" s="258" t="s">
        <v>108</v>
      </c>
      <c r="C103" s="250" t="s">
        <v>109</v>
      </c>
      <c r="D103" s="174" t="s">
        <v>88</v>
      </c>
      <c r="E103" s="437">
        <v>3961</v>
      </c>
      <c r="F103" s="371">
        <f>4336-13</f>
        <v>4323</v>
      </c>
      <c r="G103" s="401">
        <f t="shared" si="0"/>
        <v>109.13910628629134</v>
      </c>
    </row>
    <row r="104" spans="1:7" ht="12.95" customHeight="1">
      <c r="A104" s="257"/>
      <c r="B104" s="258"/>
      <c r="C104" s="382" t="s">
        <v>353</v>
      </c>
      <c r="D104" s="174"/>
      <c r="E104" s="437"/>
      <c r="F104" s="384">
        <v>73</v>
      </c>
      <c r="G104" s="401"/>
    </row>
    <row r="105" spans="1:7" ht="12.95" customHeight="1">
      <c r="A105" s="257"/>
      <c r="B105" s="258"/>
      <c r="C105" s="385" t="s">
        <v>410</v>
      </c>
      <c r="D105" s="174"/>
      <c r="E105" s="437"/>
      <c r="F105" s="384">
        <f>1603-13</f>
        <v>1590</v>
      </c>
      <c r="G105" s="401"/>
    </row>
    <row r="106" spans="1:7" ht="12.95" customHeight="1">
      <c r="A106" s="257"/>
      <c r="B106" s="258" t="s">
        <v>110</v>
      </c>
      <c r="C106" s="250" t="s">
        <v>111</v>
      </c>
      <c r="D106" s="174" t="s">
        <v>88</v>
      </c>
      <c r="E106" s="437">
        <v>8060</v>
      </c>
      <c r="F106" s="371">
        <f>7665-126</f>
        <v>7539</v>
      </c>
      <c r="G106" s="401">
        <f t="shared" si="0"/>
        <v>93.535980148883382</v>
      </c>
    </row>
    <row r="107" spans="1:7" ht="12.95" customHeight="1">
      <c r="A107" s="257"/>
      <c r="B107" s="258"/>
      <c r="C107" s="382" t="s">
        <v>353</v>
      </c>
      <c r="D107" s="174"/>
      <c r="E107" s="437"/>
      <c r="F107" s="384">
        <v>83</v>
      </c>
      <c r="G107" s="401"/>
    </row>
    <row r="108" spans="1:7" ht="12.95" customHeight="1">
      <c r="A108" s="257"/>
      <c r="B108" s="258"/>
      <c r="C108" s="385" t="s">
        <v>410</v>
      </c>
      <c r="D108" s="174"/>
      <c r="E108" s="437"/>
      <c r="F108" s="384">
        <f>3796-126</f>
        <v>3670</v>
      </c>
      <c r="G108" s="401"/>
    </row>
    <row r="109" spans="1:7" ht="12.95" customHeight="1">
      <c r="A109" s="257"/>
      <c r="B109" s="258" t="s">
        <v>112</v>
      </c>
      <c r="C109" s="250" t="s">
        <v>113</v>
      </c>
      <c r="D109" s="174" t="s">
        <v>88</v>
      </c>
      <c r="E109" s="437">
        <v>9500</v>
      </c>
      <c r="F109" s="371">
        <f>7224-6</f>
        <v>7218</v>
      </c>
      <c r="G109" s="401">
        <f t="shared" si="0"/>
        <v>75.978947368421061</v>
      </c>
    </row>
    <row r="110" spans="1:7" ht="12.95" customHeight="1">
      <c r="A110" s="257"/>
      <c r="B110" s="258"/>
      <c r="C110" s="382" t="s">
        <v>353</v>
      </c>
      <c r="D110" s="174"/>
      <c r="E110" s="437"/>
      <c r="F110" s="384">
        <v>106</v>
      </c>
      <c r="G110" s="401"/>
    </row>
    <row r="111" spans="1:7" ht="12.95" customHeight="1">
      <c r="A111" s="257"/>
      <c r="B111" s="258"/>
      <c r="C111" s="382" t="s">
        <v>354</v>
      </c>
      <c r="D111" s="174"/>
      <c r="E111" s="437"/>
      <c r="F111" s="384">
        <v>193</v>
      </c>
      <c r="G111" s="401"/>
    </row>
    <row r="112" spans="1:7" ht="12.95" customHeight="1">
      <c r="A112" s="257"/>
      <c r="B112" s="258"/>
      <c r="C112" s="385" t="s">
        <v>410</v>
      </c>
      <c r="D112" s="174"/>
      <c r="E112" s="437"/>
      <c r="F112" s="384">
        <f>2606-6</f>
        <v>2600</v>
      </c>
      <c r="G112" s="401"/>
    </row>
    <row r="113" spans="1:7" ht="12.95" customHeight="1">
      <c r="A113" s="257"/>
      <c r="B113" s="258" t="s">
        <v>114</v>
      </c>
      <c r="C113" s="250" t="s">
        <v>115</v>
      </c>
      <c r="D113" s="174" t="s">
        <v>88</v>
      </c>
      <c r="E113" s="437">
        <v>8800</v>
      </c>
      <c r="F113" s="371">
        <f>8030-518</f>
        <v>7512</v>
      </c>
      <c r="G113" s="401">
        <f t="shared" si="0"/>
        <v>85.36363636363636</v>
      </c>
    </row>
    <row r="114" spans="1:7" ht="12.95" customHeight="1">
      <c r="A114" s="257"/>
      <c r="B114" s="258"/>
      <c r="C114" s="382" t="s">
        <v>353</v>
      </c>
      <c r="D114" s="174"/>
      <c r="E114" s="437"/>
      <c r="F114" s="384">
        <v>118</v>
      </c>
      <c r="G114" s="401"/>
    </row>
    <row r="115" spans="1:7" ht="12.95" customHeight="1">
      <c r="A115" s="257"/>
      <c r="B115" s="258"/>
      <c r="C115" s="382" t="s">
        <v>354</v>
      </c>
      <c r="D115" s="174"/>
      <c r="E115" s="437"/>
      <c r="F115" s="384">
        <v>114</v>
      </c>
      <c r="G115" s="401"/>
    </row>
    <row r="116" spans="1:7" ht="12.95" customHeight="1" thickBot="1">
      <c r="A116" s="480"/>
      <c r="B116" s="481"/>
      <c r="C116" s="482" t="s">
        <v>410</v>
      </c>
      <c r="D116" s="483"/>
      <c r="E116" s="484"/>
      <c r="F116" s="485">
        <f>3354-518</f>
        <v>2836</v>
      </c>
      <c r="G116" s="421"/>
    </row>
    <row r="117" spans="1:7" ht="12.95" customHeight="1">
      <c r="A117" s="486"/>
      <c r="B117" s="487"/>
      <c r="C117" s="488"/>
      <c r="D117" s="361"/>
      <c r="E117" s="489"/>
      <c r="F117" s="624"/>
      <c r="G117" s="490"/>
    </row>
    <row r="118" spans="1:7" ht="12.75" customHeight="1">
      <c r="A118" s="486"/>
      <c r="B118" s="487"/>
      <c r="C118" s="488"/>
      <c r="D118" s="361"/>
      <c r="E118" s="489"/>
      <c r="F118" s="624"/>
      <c r="G118" s="490"/>
    </row>
    <row r="119" spans="1:7" ht="12.75" customHeight="1">
      <c r="A119" s="486"/>
      <c r="B119" s="487"/>
      <c r="C119" s="488"/>
      <c r="D119" s="361"/>
      <c r="E119" s="489"/>
      <c r="F119" s="624"/>
      <c r="G119" s="490"/>
    </row>
    <row r="120" spans="1:7" ht="12.75" customHeight="1">
      <c r="A120" s="486"/>
      <c r="B120" s="487"/>
      <c r="C120" s="488"/>
      <c r="D120" s="361"/>
      <c r="E120" s="489"/>
      <c r="F120" s="624"/>
      <c r="G120" s="490"/>
    </row>
    <row r="121" spans="1:7" ht="12.75" customHeight="1">
      <c r="A121" s="486"/>
      <c r="B121" s="487"/>
      <c r="C121" s="488"/>
      <c r="D121" s="361"/>
      <c r="E121" s="489"/>
      <c r="F121" s="624"/>
      <c r="G121" s="490"/>
    </row>
    <row r="122" spans="1:7" ht="12.75" customHeight="1">
      <c r="A122" s="486"/>
      <c r="B122" s="487"/>
      <c r="C122" s="488"/>
      <c r="D122" s="361"/>
      <c r="E122" s="489"/>
      <c r="F122" s="624"/>
      <c r="G122" s="490"/>
    </row>
    <row r="123" spans="1:7" ht="12.75" customHeight="1">
      <c r="A123" s="486"/>
      <c r="B123" s="487"/>
      <c r="C123" s="488"/>
      <c r="D123" s="361"/>
      <c r="E123" s="489"/>
      <c r="F123" s="624"/>
      <c r="G123" s="490"/>
    </row>
    <row r="124" spans="1:7" ht="12.75" customHeight="1">
      <c r="A124" s="486"/>
      <c r="B124" s="487"/>
      <c r="C124" s="488"/>
      <c r="D124" s="361"/>
      <c r="E124" s="489"/>
      <c r="F124" s="624"/>
      <c r="G124" s="490"/>
    </row>
    <row r="125" spans="1:7" ht="12.75" customHeight="1">
      <c r="A125" s="486"/>
      <c r="B125" s="487"/>
      <c r="C125" s="488"/>
      <c r="D125" s="361"/>
      <c r="E125" s="489"/>
      <c r="F125" s="624"/>
      <c r="G125" s="490"/>
    </row>
    <row r="126" spans="1:7" ht="12.75" customHeight="1">
      <c r="A126" s="486"/>
      <c r="B126" s="487"/>
      <c r="C126" s="488"/>
      <c r="D126" s="361"/>
      <c r="E126" s="489"/>
      <c r="F126" s="624"/>
      <c r="G126" s="490"/>
    </row>
    <row r="127" spans="1:7" ht="12.75" customHeight="1" thickBot="1">
      <c r="A127" s="486"/>
      <c r="B127" s="487"/>
      <c r="C127" s="488"/>
      <c r="D127" s="361"/>
      <c r="E127" s="361"/>
      <c r="F127" s="361"/>
      <c r="G127" s="506" t="s">
        <v>402</v>
      </c>
    </row>
    <row r="128" spans="1:7" ht="12.75" customHeight="1">
      <c r="A128" s="32" t="s">
        <v>1</v>
      </c>
      <c r="B128" s="33" t="s">
        <v>2</v>
      </c>
      <c r="C128" s="34" t="s">
        <v>3</v>
      </c>
      <c r="D128" s="35"/>
      <c r="E128" s="81" t="s">
        <v>4</v>
      </c>
      <c r="F128" s="81" t="s">
        <v>308</v>
      </c>
      <c r="G128" s="397" t="s">
        <v>309</v>
      </c>
    </row>
    <row r="129" spans="1:10" ht="12.75" customHeight="1">
      <c r="A129" s="36" t="s">
        <v>5</v>
      </c>
      <c r="B129" s="37" t="s">
        <v>6</v>
      </c>
      <c r="C129" s="38" t="s">
        <v>7</v>
      </c>
      <c r="D129" s="39" t="s">
        <v>8</v>
      </c>
      <c r="E129" s="84" t="s">
        <v>397</v>
      </c>
      <c r="F129" s="84" t="s">
        <v>273</v>
      </c>
      <c r="G129" s="398" t="s">
        <v>315</v>
      </c>
    </row>
    <row r="130" spans="1:10" ht="15" customHeight="1" thickBot="1">
      <c r="A130" s="40" t="s">
        <v>9</v>
      </c>
      <c r="B130" s="41" t="s">
        <v>10</v>
      </c>
      <c r="C130" s="42"/>
      <c r="D130" s="43"/>
      <c r="E130" s="88" t="s">
        <v>245</v>
      </c>
      <c r="F130" s="88" t="s">
        <v>314</v>
      </c>
      <c r="G130" s="399" t="s">
        <v>310</v>
      </c>
    </row>
    <row r="131" spans="1:10">
      <c r="A131" s="491"/>
      <c r="B131" s="492"/>
      <c r="C131" s="493" t="s">
        <v>116</v>
      </c>
      <c r="D131" s="494" t="s">
        <v>88</v>
      </c>
      <c r="E131" s="690">
        <v>1000</v>
      </c>
      <c r="F131" s="692">
        <v>1000</v>
      </c>
      <c r="G131" s="688">
        <f t="shared" si="0"/>
        <v>100</v>
      </c>
    </row>
    <row r="132" spans="1:10">
      <c r="A132" s="263"/>
      <c r="B132" s="306"/>
      <c r="C132" s="307"/>
      <c r="D132" s="259" t="s">
        <v>117</v>
      </c>
      <c r="E132" s="691"/>
      <c r="F132" s="693"/>
      <c r="G132" s="689"/>
    </row>
    <row r="133" spans="1:10">
      <c r="A133" s="305"/>
      <c r="B133" s="301"/>
      <c r="C133" s="309" t="s">
        <v>118</v>
      </c>
      <c r="D133" s="304" t="s">
        <v>119</v>
      </c>
      <c r="E133" s="694">
        <v>1300</v>
      </c>
      <c r="F133" s="696">
        <v>1300</v>
      </c>
      <c r="G133" s="685">
        <f t="shared" si="0"/>
        <v>100</v>
      </c>
    </row>
    <row r="134" spans="1:10">
      <c r="A134" s="308"/>
      <c r="B134" s="302"/>
      <c r="C134" s="310"/>
      <c r="D134" s="259" t="s">
        <v>120</v>
      </c>
      <c r="E134" s="695"/>
      <c r="F134" s="691"/>
      <c r="G134" s="686"/>
    </row>
    <row r="135" spans="1:10">
      <c r="A135" s="294"/>
      <c r="B135" s="301" t="s">
        <v>121</v>
      </c>
      <c r="C135" s="303" t="s">
        <v>281</v>
      </c>
      <c r="D135" s="309" t="s">
        <v>282</v>
      </c>
      <c r="E135" s="366"/>
      <c r="F135" s="575"/>
      <c r="G135" s="685">
        <f>(F136/E136)*100</f>
        <v>100</v>
      </c>
    </row>
    <row r="136" spans="1:10">
      <c r="A136" s="311"/>
      <c r="B136" s="312"/>
      <c r="C136" s="313" t="s">
        <v>283</v>
      </c>
      <c r="D136" s="439" t="s">
        <v>284</v>
      </c>
      <c r="E136" s="367">
        <v>49000</v>
      </c>
      <c r="F136" s="658">
        <v>49000</v>
      </c>
      <c r="G136" s="687"/>
    </row>
    <row r="137" spans="1:10">
      <c r="A137" s="170"/>
      <c r="B137" s="306"/>
      <c r="C137" s="314"/>
      <c r="D137" s="440" t="s">
        <v>285</v>
      </c>
      <c r="E137" s="368"/>
      <c r="F137" s="650"/>
      <c r="G137" s="686"/>
    </row>
    <row r="138" spans="1:10">
      <c r="A138" s="228"/>
      <c r="B138" s="345"/>
      <c r="C138" s="340"/>
      <c r="D138" s="341"/>
      <c r="E138" s="368"/>
      <c r="F138" s="547"/>
      <c r="G138" s="544"/>
    </row>
    <row r="139" spans="1:10">
      <c r="A139" s="541" t="s">
        <v>325</v>
      </c>
      <c r="B139" s="683" t="s">
        <v>392</v>
      </c>
      <c r="C139" s="684"/>
      <c r="D139" s="542"/>
      <c r="E139" s="543">
        <f>SUM(E140:E141)</f>
        <v>0</v>
      </c>
      <c r="F139" s="375">
        <f>SUM(F140:F141)</f>
        <v>1384</v>
      </c>
      <c r="G139" s="544"/>
    </row>
    <row r="140" spans="1:10">
      <c r="A140" s="541"/>
      <c r="B140" s="545"/>
      <c r="C140" s="314" t="s">
        <v>388</v>
      </c>
      <c r="D140" s="546" t="s">
        <v>324</v>
      </c>
      <c r="E140" s="368">
        <v>0</v>
      </c>
      <c r="F140" s="547">
        <v>984</v>
      </c>
      <c r="G140" s="544"/>
      <c r="H140" s="389"/>
      <c r="I140" s="389"/>
      <c r="J140" s="389"/>
    </row>
    <row r="141" spans="1:10">
      <c r="A141" s="198"/>
      <c r="B141" s="548"/>
      <c r="C141" s="549" t="s">
        <v>389</v>
      </c>
      <c r="D141" s="550" t="s">
        <v>162</v>
      </c>
      <c r="E141" s="551">
        <v>0</v>
      </c>
      <c r="F141" s="547">
        <v>400</v>
      </c>
      <c r="G141" s="544"/>
      <c r="H141" s="389"/>
      <c r="I141" s="389"/>
      <c r="J141" s="389"/>
    </row>
    <row r="142" spans="1:10">
      <c r="A142" s="500"/>
      <c r="B142" s="501"/>
      <c r="C142" s="502"/>
      <c r="D142" s="503"/>
      <c r="E142" s="504"/>
      <c r="F142" s="505"/>
      <c r="G142" s="469"/>
      <c r="H142" s="389"/>
      <c r="I142" s="389"/>
      <c r="J142" s="389"/>
    </row>
    <row r="143" spans="1:10">
      <c r="A143" s="151" t="s">
        <v>338</v>
      </c>
      <c r="B143" s="152" t="s">
        <v>337</v>
      </c>
      <c r="C143" s="153"/>
      <c r="D143" s="260"/>
      <c r="E143" s="162">
        <f>SUM(E145:E146)</f>
        <v>1200</v>
      </c>
      <c r="F143" s="375">
        <f>SUM(F145:F146)</f>
        <v>0</v>
      </c>
      <c r="G143" s="400">
        <f t="shared" ref="G143:G147" si="1">(F143/E143)*100</f>
        <v>0</v>
      </c>
    </row>
    <row r="144" spans="1:10">
      <c r="A144" s="151"/>
      <c r="B144" s="152"/>
      <c r="C144" s="155" t="s">
        <v>341</v>
      </c>
      <c r="D144" s="260"/>
      <c r="E144" s="162"/>
      <c r="F144" s="443"/>
      <c r="G144" s="401"/>
    </row>
    <row r="145" spans="1:7">
      <c r="A145" s="261"/>
      <c r="B145" s="262"/>
      <c r="C145" s="243" t="s">
        <v>241</v>
      </c>
      <c r="D145" s="176" t="s">
        <v>88</v>
      </c>
      <c r="E145" s="163">
        <v>200</v>
      </c>
      <c r="F145" s="443"/>
      <c r="G145" s="401">
        <f>F145/E145*100</f>
        <v>0</v>
      </c>
    </row>
    <row r="146" spans="1:7" ht="15.75" thickBot="1">
      <c r="A146" s="261"/>
      <c r="B146" s="262"/>
      <c r="C146" s="153" t="s">
        <v>242</v>
      </c>
      <c r="D146" s="176" t="s">
        <v>88</v>
      </c>
      <c r="E146" s="188">
        <v>1000</v>
      </c>
      <c r="F146" s="444"/>
      <c r="G146" s="401">
        <f>F146/E146*100</f>
        <v>0</v>
      </c>
    </row>
    <row r="147" spans="1:7" ht="16.5" thickBot="1">
      <c r="A147" s="476" t="s">
        <v>21</v>
      </c>
      <c r="B147" s="477"/>
      <c r="C147" s="477"/>
      <c r="D147" s="180"/>
      <c r="E147" s="189">
        <f>E7+E143+E139</f>
        <v>181379</v>
      </c>
      <c r="F147" s="189">
        <f>F7+F143+F139</f>
        <v>171551</v>
      </c>
      <c r="G147" s="427">
        <f t="shared" si="1"/>
        <v>94.58151164136973</v>
      </c>
    </row>
    <row r="148" spans="1:7" ht="15.75">
      <c r="A148" s="222"/>
      <c r="B148" s="222"/>
      <c r="C148" s="222"/>
      <c r="D148" s="223"/>
      <c r="E148" s="224"/>
    </row>
    <row r="149" spans="1:7" ht="15.75">
      <c r="A149" s="335"/>
      <c r="B149" s="335"/>
      <c r="C149" s="335"/>
      <c r="D149" s="44"/>
      <c r="E149" s="103"/>
    </row>
    <row r="150" spans="1:7" ht="15.75">
      <c r="A150" s="335"/>
      <c r="B150" s="335"/>
      <c r="C150" s="335"/>
      <c r="D150" s="44"/>
      <c r="E150" s="103"/>
    </row>
    <row r="151" spans="1:7" ht="15.75">
      <c r="A151" s="335"/>
      <c r="B151" s="335"/>
      <c r="C151" s="335"/>
      <c r="D151" s="44"/>
      <c r="E151" s="103"/>
    </row>
    <row r="152" spans="1:7" ht="15.75">
      <c r="A152" s="335"/>
      <c r="B152" s="335"/>
      <c r="C152" s="335"/>
      <c r="D152" s="44"/>
      <c r="E152" s="103"/>
    </row>
    <row r="153" spans="1:7" ht="15.75">
      <c r="A153" s="335"/>
      <c r="B153" s="335"/>
      <c r="C153" s="335"/>
      <c r="D153" s="44"/>
      <c r="E153" s="103"/>
    </row>
    <row r="154" spans="1:7" ht="15.75">
      <c r="A154" s="335"/>
      <c r="B154" s="335"/>
      <c r="C154" s="335"/>
      <c r="D154" s="44"/>
      <c r="E154" s="103"/>
    </row>
    <row r="155" spans="1:7" ht="15.75">
      <c r="A155" s="335"/>
      <c r="B155" s="335"/>
      <c r="C155" s="335"/>
      <c r="D155" s="44"/>
      <c r="E155" s="103"/>
    </row>
    <row r="156" spans="1:7" ht="15.75">
      <c r="A156" s="335"/>
      <c r="B156" s="335"/>
      <c r="C156" s="335"/>
      <c r="D156" s="44"/>
      <c r="E156" s="103"/>
    </row>
    <row r="157" spans="1:7" ht="15.75">
      <c r="A157" s="335"/>
      <c r="B157" s="335"/>
      <c r="C157" s="335"/>
      <c r="D157" s="44"/>
      <c r="E157" s="103"/>
    </row>
    <row r="158" spans="1:7" ht="15.75">
      <c r="A158" s="335"/>
      <c r="B158" s="335"/>
      <c r="C158" s="335"/>
      <c r="D158" s="44"/>
      <c r="E158" s="103"/>
    </row>
    <row r="159" spans="1:7" ht="15.75">
      <c r="A159" s="335"/>
      <c r="B159" s="335"/>
      <c r="C159" s="335"/>
      <c r="D159" s="44"/>
      <c r="E159" s="103"/>
    </row>
    <row r="160" spans="1:7" ht="15.75">
      <c r="A160" s="335"/>
      <c r="B160" s="335"/>
      <c r="C160" s="335"/>
      <c r="D160" s="44"/>
      <c r="E160" s="103"/>
    </row>
    <row r="161" spans="1:5" ht="15.75">
      <c r="A161" s="335"/>
      <c r="B161" s="335"/>
      <c r="C161" s="335"/>
      <c r="D161" s="44"/>
      <c r="E161" s="103"/>
    </row>
    <row r="162" spans="1:5" ht="15.75">
      <c r="A162" s="335"/>
      <c r="B162" s="335"/>
      <c r="C162" s="335"/>
      <c r="D162" s="44"/>
      <c r="E162" s="103"/>
    </row>
    <row r="163" spans="1:5" ht="15.75">
      <c r="A163" s="335"/>
      <c r="B163" s="335"/>
      <c r="C163" s="335"/>
      <c r="D163" s="44"/>
      <c r="E163" s="103"/>
    </row>
    <row r="164" spans="1:5" ht="15.75">
      <c r="A164" s="335"/>
      <c r="B164" s="335"/>
      <c r="C164" s="335"/>
      <c r="D164" s="44"/>
      <c r="E164" s="103"/>
    </row>
    <row r="165" spans="1:5" ht="15.75">
      <c r="A165" s="335"/>
      <c r="B165" s="335"/>
      <c r="C165" s="335"/>
      <c r="D165" s="44"/>
      <c r="E165" s="103"/>
    </row>
    <row r="166" spans="1:5" ht="15.75">
      <c r="A166" s="335"/>
      <c r="B166" s="335"/>
      <c r="C166" s="335"/>
      <c r="D166" s="44"/>
      <c r="E166" s="103"/>
    </row>
    <row r="167" spans="1:5" ht="15.75">
      <c r="A167" s="335"/>
      <c r="B167" s="335"/>
      <c r="C167" s="335"/>
      <c r="D167" s="44"/>
      <c r="E167" s="103"/>
    </row>
    <row r="168" spans="1:5" ht="15.75">
      <c r="A168" s="335"/>
      <c r="B168" s="335"/>
      <c r="C168" s="335"/>
      <c r="D168" s="44"/>
      <c r="E168" s="103"/>
    </row>
    <row r="169" spans="1:5" ht="15.75">
      <c r="A169" s="335"/>
      <c r="B169" s="335"/>
      <c r="C169" s="335"/>
      <c r="D169" s="44"/>
      <c r="E169" s="103"/>
    </row>
    <row r="170" spans="1:5" ht="15.75">
      <c r="A170" s="335"/>
      <c r="B170" s="335"/>
      <c r="C170" s="335"/>
      <c r="D170" s="44"/>
      <c r="E170" s="103"/>
    </row>
    <row r="171" spans="1:5" ht="15.75">
      <c r="A171" s="335"/>
      <c r="B171" s="335"/>
      <c r="C171" s="335"/>
      <c r="D171" s="44"/>
      <c r="E171" s="103"/>
    </row>
    <row r="172" spans="1:5" ht="15.75">
      <c r="A172" s="335"/>
      <c r="B172" s="335"/>
      <c r="C172" s="335"/>
      <c r="D172" s="44"/>
      <c r="E172" s="103"/>
    </row>
    <row r="173" spans="1:5" ht="15.75">
      <c r="A173" s="335"/>
      <c r="B173" s="335"/>
      <c r="C173" s="335"/>
      <c r="D173" s="44"/>
      <c r="E173" s="103"/>
    </row>
    <row r="174" spans="1:5" ht="15.75">
      <c r="A174" s="335"/>
      <c r="B174" s="335"/>
      <c r="C174" s="335"/>
      <c r="D174" s="44"/>
      <c r="E174" s="103"/>
    </row>
    <row r="175" spans="1:5" ht="15.75">
      <c r="A175" s="335"/>
      <c r="B175" s="335"/>
      <c r="C175" s="335"/>
      <c r="D175" s="44"/>
      <c r="E175" s="103"/>
    </row>
    <row r="176" spans="1:5" ht="15.75">
      <c r="A176" s="335"/>
      <c r="B176" s="335"/>
      <c r="C176" s="335"/>
      <c r="D176" s="44"/>
      <c r="E176" s="103"/>
    </row>
    <row r="177" spans="1:5" ht="15.75">
      <c r="A177" s="335"/>
      <c r="B177" s="335"/>
      <c r="C177" s="335"/>
      <c r="D177" s="44"/>
      <c r="E177" s="103"/>
    </row>
    <row r="178" spans="1:5" ht="15.75">
      <c r="A178" s="335"/>
      <c r="B178" s="335"/>
      <c r="C178" s="335"/>
      <c r="D178" s="44"/>
      <c r="E178" s="103"/>
    </row>
    <row r="179" spans="1:5" ht="15.75">
      <c r="A179" s="335"/>
      <c r="B179" s="335"/>
      <c r="C179" s="335"/>
      <c r="D179" s="44"/>
      <c r="E179" s="103"/>
    </row>
    <row r="180" spans="1:5">
      <c r="E180"/>
    </row>
    <row r="181" spans="1:5">
      <c r="E181"/>
    </row>
    <row r="182" spans="1:5">
      <c r="E182"/>
    </row>
    <row r="183" spans="1:5">
      <c r="E183"/>
    </row>
    <row r="184" spans="1:5">
      <c r="E184"/>
    </row>
    <row r="185" spans="1:5">
      <c r="E185"/>
    </row>
    <row r="186" spans="1:5">
      <c r="E186"/>
    </row>
    <row r="187" spans="1:5">
      <c r="E187"/>
    </row>
    <row r="188" spans="1:5">
      <c r="E188"/>
    </row>
    <row r="189" spans="1:5">
      <c r="E189"/>
    </row>
    <row r="190" spans="1:5">
      <c r="E190"/>
    </row>
    <row r="191" spans="1:5">
      <c r="E191"/>
    </row>
    <row r="192" spans="1:5">
      <c r="E192"/>
    </row>
    <row r="193" spans="5:5">
      <c r="E193"/>
    </row>
    <row r="194" spans="5:5">
      <c r="E194"/>
    </row>
    <row r="195" spans="5:5">
      <c r="E195"/>
    </row>
    <row r="196" spans="5:5">
      <c r="E196"/>
    </row>
    <row r="197" spans="5:5">
      <c r="E197"/>
    </row>
    <row r="198" spans="5:5">
      <c r="E198"/>
    </row>
    <row r="199" spans="5:5">
      <c r="E199"/>
    </row>
    <row r="200" spans="5:5">
      <c r="E200"/>
    </row>
    <row r="201" spans="5:5">
      <c r="E201"/>
    </row>
    <row r="202" spans="5:5">
      <c r="E202"/>
    </row>
    <row r="203" spans="5:5" ht="21.95" customHeight="1">
      <c r="E203"/>
    </row>
    <row r="204" spans="5:5" ht="21.95" customHeight="1">
      <c r="E204"/>
    </row>
    <row r="205" spans="5:5" ht="21.95" customHeight="1">
      <c r="E205"/>
    </row>
    <row r="206" spans="5:5" ht="21.95" customHeight="1">
      <c r="E206"/>
    </row>
    <row r="207" spans="5:5" ht="21.95" customHeight="1">
      <c r="E207"/>
    </row>
    <row r="208" spans="5:5" ht="21.95" customHeight="1">
      <c r="E208"/>
    </row>
    <row r="209" spans="5:5" ht="21.95" customHeight="1">
      <c r="E209"/>
    </row>
    <row r="210" spans="5:5" ht="21.95" customHeight="1">
      <c r="E210"/>
    </row>
    <row r="211" spans="5:5" ht="21.95" customHeight="1">
      <c r="E211"/>
    </row>
    <row r="212" spans="5:5" ht="21.95" customHeight="1">
      <c r="E212"/>
    </row>
    <row r="213" spans="5:5" ht="21.95" customHeight="1">
      <c r="E213"/>
    </row>
    <row r="214" spans="5:5" ht="21.95" customHeight="1">
      <c r="E214"/>
    </row>
    <row r="215" spans="5:5" ht="21.95" customHeight="1">
      <c r="E215"/>
    </row>
    <row r="216" spans="5:5" ht="21.95" customHeight="1">
      <c r="E216"/>
    </row>
    <row r="217" spans="5:5" ht="21.95" customHeight="1">
      <c r="E217"/>
    </row>
    <row r="218" spans="5:5" ht="21.95" customHeight="1">
      <c r="E218"/>
    </row>
    <row r="219" spans="5:5" ht="21.95" customHeight="1">
      <c r="E219"/>
    </row>
    <row r="220" spans="5:5" ht="21.95" customHeight="1">
      <c r="E220"/>
    </row>
    <row r="221" spans="5:5" ht="21.95" customHeight="1">
      <c r="E221"/>
    </row>
    <row r="222" spans="5:5" ht="21.95" customHeight="1">
      <c r="E222"/>
    </row>
    <row r="223" spans="5:5" ht="21.95" customHeight="1">
      <c r="E223"/>
    </row>
    <row r="224" spans="5:5" ht="21.95" customHeight="1">
      <c r="E224"/>
    </row>
    <row r="225" spans="5:5" ht="21.95" customHeight="1">
      <c r="E225"/>
    </row>
    <row r="226" spans="5:5" ht="21.95" customHeight="1">
      <c r="E226"/>
    </row>
    <row r="227" spans="5:5" ht="21.95" customHeight="1">
      <c r="E227"/>
    </row>
    <row r="228" spans="5:5" ht="21.95" customHeight="1">
      <c r="E228"/>
    </row>
    <row r="229" spans="5:5" ht="21.95" customHeight="1">
      <c r="E229"/>
    </row>
    <row r="230" spans="5:5" ht="27" customHeight="1">
      <c r="E230"/>
    </row>
    <row r="231" spans="5:5" ht="15" customHeight="1">
      <c r="E231"/>
    </row>
    <row r="232" spans="5:5" ht="15" customHeight="1">
      <c r="E232"/>
    </row>
    <row r="233" spans="5:5" ht="15" customHeight="1">
      <c r="E233"/>
    </row>
    <row r="234" spans="5:5">
      <c r="E234"/>
    </row>
    <row r="235" spans="5:5">
      <c r="E235"/>
    </row>
    <row r="236" spans="5:5">
      <c r="E236"/>
    </row>
    <row r="237" spans="5:5">
      <c r="E237"/>
    </row>
    <row r="238" spans="5:5">
      <c r="E238"/>
    </row>
    <row r="239" spans="5:5">
      <c r="E239"/>
    </row>
    <row r="240" spans="5:5">
      <c r="E240"/>
    </row>
    <row r="241" spans="5:5">
      <c r="E241"/>
    </row>
    <row r="242" spans="5:5">
      <c r="E242"/>
    </row>
    <row r="243" spans="5:5">
      <c r="E243"/>
    </row>
    <row r="244" spans="5:5">
      <c r="E244"/>
    </row>
    <row r="245" spans="5:5">
      <c r="E245"/>
    </row>
  </sheetData>
  <mergeCells count="8">
    <mergeCell ref="B139:C139"/>
    <mergeCell ref="G133:G134"/>
    <mergeCell ref="G135:G137"/>
    <mergeCell ref="G131:G132"/>
    <mergeCell ref="E131:E132"/>
    <mergeCell ref="F131:F132"/>
    <mergeCell ref="E133:E134"/>
    <mergeCell ref="F133:F134"/>
  </mergeCells>
  <pageMargins left="1.72" right="0" top="0.19685039370078741" bottom="0" header="0" footer="0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G106"/>
  <sheetViews>
    <sheetView topLeftCell="A28" zoomScaleNormal="100" workbookViewId="0">
      <selection activeCell="G23" sqref="G23"/>
    </sheetView>
  </sheetViews>
  <sheetFormatPr defaultRowHeight="15"/>
  <cols>
    <col min="1" max="2" width="12.7109375" customWidth="1"/>
    <col min="3" max="3" width="44.140625" customWidth="1"/>
    <col min="4" max="4" width="50.85546875" customWidth="1"/>
    <col min="5" max="7" width="14.7109375" customWidth="1"/>
  </cols>
  <sheetData>
    <row r="2" spans="1:7" ht="18">
      <c r="A2" s="1" t="s">
        <v>122</v>
      </c>
      <c r="C2" s="2"/>
      <c r="D2" s="1"/>
    </row>
    <row r="3" spans="1:7" ht="15.75" thickBot="1">
      <c r="E3" s="3"/>
      <c r="G3" s="479" t="s">
        <v>364</v>
      </c>
    </row>
    <row r="4" spans="1:7" ht="15" customHeight="1">
      <c r="A4" s="523" t="s">
        <v>1</v>
      </c>
      <c r="B4" s="47" t="s">
        <v>2</v>
      </c>
      <c r="C4" s="520" t="s">
        <v>3</v>
      </c>
      <c r="D4" s="47"/>
      <c r="E4" s="81" t="s">
        <v>4</v>
      </c>
      <c r="F4" s="81" t="s">
        <v>308</v>
      </c>
      <c r="G4" s="397" t="s">
        <v>309</v>
      </c>
    </row>
    <row r="5" spans="1:7" ht="15" customHeight="1">
      <c r="A5" s="524" t="s">
        <v>5</v>
      </c>
      <c r="B5" s="526" t="s">
        <v>6</v>
      </c>
      <c r="C5" s="521" t="s">
        <v>7</v>
      </c>
      <c r="D5" s="49" t="s">
        <v>8</v>
      </c>
      <c r="E5" s="84" t="s">
        <v>397</v>
      </c>
      <c r="F5" s="84" t="s">
        <v>273</v>
      </c>
      <c r="G5" s="398" t="s">
        <v>315</v>
      </c>
    </row>
    <row r="6" spans="1:7" ht="15" customHeight="1" thickBot="1">
      <c r="A6" s="525" t="s">
        <v>9</v>
      </c>
      <c r="B6" s="527" t="s">
        <v>10</v>
      </c>
      <c r="C6" s="522"/>
      <c r="D6" s="51"/>
      <c r="E6" s="88" t="s">
        <v>245</v>
      </c>
      <c r="F6" s="88" t="s">
        <v>314</v>
      </c>
      <c r="G6" s="399" t="s">
        <v>310</v>
      </c>
    </row>
    <row r="7" spans="1:7" ht="15.75">
      <c r="A7" s="167" t="s">
        <v>11</v>
      </c>
      <c r="B7" s="445"/>
      <c r="C7" s="52"/>
      <c r="D7" s="53"/>
      <c r="E7" s="8"/>
      <c r="F7" s="448"/>
      <c r="G7" s="420"/>
    </row>
    <row r="8" spans="1:7">
      <c r="A8" s="294" t="s">
        <v>339</v>
      </c>
      <c r="B8" s="475" t="s">
        <v>198</v>
      </c>
      <c r="C8" s="153"/>
      <c r="D8" s="154"/>
      <c r="E8" s="162">
        <f>E10</f>
        <v>250</v>
      </c>
      <c r="F8" s="162">
        <f>F10</f>
        <v>250</v>
      </c>
      <c r="G8" s="400">
        <f>(F8/E8)*100</f>
        <v>100</v>
      </c>
    </row>
    <row r="9" spans="1:7">
      <c r="A9" s="294"/>
      <c r="B9" s="475"/>
      <c r="C9" s="155" t="s">
        <v>340</v>
      </c>
      <c r="D9" s="156"/>
      <c r="E9" s="162"/>
      <c r="F9" s="379"/>
      <c r="G9" s="400"/>
    </row>
    <row r="10" spans="1:7">
      <c r="A10" s="185"/>
      <c r="B10" s="507"/>
      <c r="C10" s="169" t="s">
        <v>128</v>
      </c>
      <c r="D10" s="157" t="s">
        <v>129</v>
      </c>
      <c r="E10" s="164">
        <v>250</v>
      </c>
      <c r="F10" s="379">
        <v>250</v>
      </c>
      <c r="G10" s="401">
        <f t="shared" ref="G10:G16" si="0">(F10/E10)*100</f>
        <v>100</v>
      </c>
    </row>
    <row r="11" spans="1:7" ht="15.75">
      <c r="A11" s="510"/>
      <c r="B11" s="66"/>
      <c r="C11" s="52"/>
      <c r="D11" s="168"/>
      <c r="E11" s="8"/>
      <c r="F11" s="379"/>
      <c r="G11" s="400"/>
    </row>
    <row r="12" spans="1:7">
      <c r="A12" s="190" t="s">
        <v>261</v>
      </c>
      <c r="B12" s="697" t="s">
        <v>262</v>
      </c>
      <c r="C12" s="698"/>
      <c r="D12" s="146"/>
      <c r="E12" s="162">
        <f>E13+E14+E15+E16+E17+E21+E28+E31+E34+E41</f>
        <v>76257</v>
      </c>
      <c r="F12" s="162">
        <f>F13+F17+F21+F28+F31+F34+F41</f>
        <v>86228</v>
      </c>
      <c r="G12" s="400">
        <f t="shared" si="0"/>
        <v>113.07552093578295</v>
      </c>
    </row>
    <row r="13" spans="1:7">
      <c r="A13" s="446"/>
      <c r="B13" s="508"/>
      <c r="C13" s="147" t="s">
        <v>123</v>
      </c>
      <c r="D13" s="512" t="s">
        <v>124</v>
      </c>
      <c r="E13" s="163">
        <v>50</v>
      </c>
      <c r="F13" s="379">
        <v>50</v>
      </c>
      <c r="G13" s="401">
        <f t="shared" si="0"/>
        <v>100</v>
      </c>
    </row>
    <row r="14" spans="1:7">
      <c r="A14" s="446"/>
      <c r="B14" s="508"/>
      <c r="C14" s="149" t="s">
        <v>125</v>
      </c>
      <c r="D14" s="336" t="s">
        <v>124</v>
      </c>
      <c r="E14" s="164">
        <v>200</v>
      </c>
      <c r="F14" s="473"/>
      <c r="G14" s="401">
        <f t="shared" si="0"/>
        <v>0</v>
      </c>
    </row>
    <row r="15" spans="1:7">
      <c r="A15" s="446"/>
      <c r="B15" s="508"/>
      <c r="C15" s="149" t="s">
        <v>126</v>
      </c>
      <c r="D15" s="336" t="s">
        <v>127</v>
      </c>
      <c r="E15" s="164">
        <v>5</v>
      </c>
      <c r="F15" s="379"/>
      <c r="G15" s="401">
        <f t="shared" si="0"/>
        <v>0</v>
      </c>
    </row>
    <row r="16" spans="1:7">
      <c r="A16" s="447"/>
      <c r="B16" s="509"/>
      <c r="C16" s="149" t="s">
        <v>263</v>
      </c>
      <c r="D16" s="157" t="s">
        <v>264</v>
      </c>
      <c r="E16" s="164">
        <v>205</v>
      </c>
      <c r="F16" s="379"/>
      <c r="G16" s="401">
        <f t="shared" si="0"/>
        <v>0</v>
      </c>
    </row>
    <row r="17" spans="1:7">
      <c r="A17" s="138"/>
      <c r="B17" s="111"/>
      <c r="C17" s="105" t="s">
        <v>265</v>
      </c>
      <c r="D17" s="106" t="s">
        <v>130</v>
      </c>
      <c r="E17" s="118">
        <f>SUM(E18:E19)</f>
        <v>200</v>
      </c>
      <c r="F17" s="635">
        <v>150</v>
      </c>
      <c r="G17" s="401">
        <f t="shared" ref="G17:G44" si="1">(F17/E17)*100</f>
        <v>75</v>
      </c>
    </row>
    <row r="18" spans="1:7">
      <c r="A18" s="138"/>
      <c r="B18" s="111"/>
      <c r="C18" s="105"/>
      <c r="D18" s="530" t="s">
        <v>141</v>
      </c>
      <c r="E18" s="132">
        <v>170</v>
      </c>
      <c r="F18" s="533">
        <v>120</v>
      </c>
      <c r="G18" s="472">
        <f t="shared" si="1"/>
        <v>70.588235294117652</v>
      </c>
    </row>
    <row r="19" spans="1:7">
      <c r="A19" s="138"/>
      <c r="B19" s="111"/>
      <c r="C19" s="105"/>
      <c r="D19" s="530" t="s">
        <v>137</v>
      </c>
      <c r="E19" s="132">
        <v>30</v>
      </c>
      <c r="F19" s="533">
        <v>30</v>
      </c>
      <c r="G19" s="472">
        <f t="shared" si="1"/>
        <v>100</v>
      </c>
    </row>
    <row r="20" spans="1:7">
      <c r="A20" s="138"/>
      <c r="B20" s="111"/>
      <c r="C20" s="105"/>
      <c r="D20" s="530"/>
      <c r="E20" s="132"/>
      <c r="F20" s="533"/>
      <c r="G20" s="472"/>
    </row>
    <row r="21" spans="1:7">
      <c r="A21" s="138"/>
      <c r="B21" s="111"/>
      <c r="C21" s="105" t="s">
        <v>131</v>
      </c>
      <c r="D21" s="107" t="s">
        <v>132</v>
      </c>
      <c r="E21" s="118">
        <f>SUM(E22:E26)</f>
        <v>401</v>
      </c>
      <c r="F21" s="554">
        <f>SUM(F22:F26)</f>
        <v>375</v>
      </c>
      <c r="G21" s="401">
        <f t="shared" si="1"/>
        <v>93.516209476309228</v>
      </c>
    </row>
    <row r="22" spans="1:7">
      <c r="A22" s="138"/>
      <c r="B22" s="111"/>
      <c r="C22" s="105" t="s">
        <v>133</v>
      </c>
      <c r="D22" s="528" t="s">
        <v>134</v>
      </c>
      <c r="E22" s="132">
        <v>5</v>
      </c>
      <c r="F22" s="552"/>
      <c r="G22" s="593">
        <f t="shared" si="1"/>
        <v>0</v>
      </c>
    </row>
    <row r="23" spans="1:7">
      <c r="A23" s="138"/>
      <c r="B23" s="111"/>
      <c r="C23" s="105"/>
      <c r="D23" s="528" t="s">
        <v>135</v>
      </c>
      <c r="E23" s="132">
        <v>20</v>
      </c>
      <c r="F23" s="552"/>
      <c r="G23" s="593">
        <f t="shared" si="1"/>
        <v>0</v>
      </c>
    </row>
    <row r="24" spans="1:7">
      <c r="A24" s="138"/>
      <c r="B24" s="111"/>
      <c r="C24" s="105"/>
      <c r="D24" s="528" t="s">
        <v>136</v>
      </c>
      <c r="E24" s="132">
        <v>25</v>
      </c>
      <c r="F24" s="552"/>
      <c r="G24" s="593">
        <f t="shared" si="1"/>
        <v>0</v>
      </c>
    </row>
    <row r="25" spans="1:7">
      <c r="A25" s="138"/>
      <c r="B25" s="111"/>
      <c r="C25" s="105"/>
      <c r="D25" s="528" t="s">
        <v>137</v>
      </c>
      <c r="E25" s="132">
        <v>350</v>
      </c>
      <c r="F25" s="552">
        <v>375</v>
      </c>
      <c r="G25" s="593">
        <f t="shared" si="1"/>
        <v>107.14285714285714</v>
      </c>
    </row>
    <row r="26" spans="1:7">
      <c r="A26" s="138"/>
      <c r="B26" s="111"/>
      <c r="C26" s="108" t="s">
        <v>390</v>
      </c>
      <c r="D26" s="528" t="s">
        <v>266</v>
      </c>
      <c r="E26" s="132">
        <v>1</v>
      </c>
      <c r="F26" s="552">
        <v>0</v>
      </c>
      <c r="G26" s="593">
        <f t="shared" si="1"/>
        <v>0</v>
      </c>
    </row>
    <row r="27" spans="1:7">
      <c r="A27" s="138"/>
      <c r="B27" s="111"/>
      <c r="C27" s="108"/>
      <c r="D27" s="528"/>
      <c r="E27" s="132"/>
      <c r="F27" s="552"/>
      <c r="G27" s="593"/>
    </row>
    <row r="28" spans="1:7">
      <c r="A28" s="138"/>
      <c r="B28" s="111"/>
      <c r="C28" s="158" t="s">
        <v>139</v>
      </c>
      <c r="D28" s="107" t="s">
        <v>138</v>
      </c>
      <c r="E28" s="118">
        <f>E29</f>
        <v>8</v>
      </c>
      <c r="F28" s="554">
        <f t="shared" ref="F28" si="2">F29</f>
        <v>8</v>
      </c>
      <c r="G28" s="544">
        <f t="shared" si="1"/>
        <v>100</v>
      </c>
    </row>
    <row r="29" spans="1:7">
      <c r="A29" s="138"/>
      <c r="B29" s="111"/>
      <c r="C29" s="108" t="s">
        <v>403</v>
      </c>
      <c r="D29" s="528" t="s">
        <v>140</v>
      </c>
      <c r="E29" s="118">
        <v>8</v>
      </c>
      <c r="F29" s="511">
        <v>8</v>
      </c>
      <c r="G29" s="401">
        <f t="shared" si="1"/>
        <v>100</v>
      </c>
    </row>
    <row r="30" spans="1:7">
      <c r="A30" s="138"/>
      <c r="B30" s="111"/>
      <c r="C30" s="108"/>
      <c r="D30" s="107"/>
      <c r="E30" s="165"/>
      <c r="F30" s="450"/>
      <c r="G30" s="401"/>
    </row>
    <row r="31" spans="1:7">
      <c r="A31" s="138"/>
      <c r="B31" s="112">
        <v>501</v>
      </c>
      <c r="C31" s="108" t="s">
        <v>143</v>
      </c>
      <c r="D31" s="107" t="s">
        <v>142</v>
      </c>
      <c r="E31" s="118">
        <f>E32</f>
        <v>17100</v>
      </c>
      <c r="F31" s="554">
        <f t="shared" ref="F31" si="3">F32</f>
        <v>17040</v>
      </c>
      <c r="G31" s="401">
        <f t="shared" si="1"/>
        <v>99.649122807017548</v>
      </c>
    </row>
    <row r="32" spans="1:7">
      <c r="A32" s="138"/>
      <c r="B32" s="112"/>
      <c r="C32" s="108" t="s">
        <v>145</v>
      </c>
      <c r="D32" s="529" t="s">
        <v>144</v>
      </c>
      <c r="E32" s="132">
        <v>17100</v>
      </c>
      <c r="F32" s="636">
        <v>17040</v>
      </c>
      <c r="G32" s="472">
        <f t="shared" si="1"/>
        <v>99.649122807017548</v>
      </c>
    </row>
    <row r="33" spans="1:7">
      <c r="A33" s="138"/>
      <c r="B33" s="110"/>
      <c r="C33" s="105"/>
      <c r="D33" s="513"/>
      <c r="E33" s="165"/>
      <c r="F33" s="450"/>
      <c r="G33" s="401"/>
    </row>
    <row r="34" spans="1:7">
      <c r="A34" s="138"/>
      <c r="B34" s="116" t="s">
        <v>148</v>
      </c>
      <c r="C34" s="114" t="s">
        <v>149</v>
      </c>
      <c r="D34" s="106" t="s">
        <v>146</v>
      </c>
      <c r="E34" s="118">
        <f>SUM(E36:E39)</f>
        <v>57608</v>
      </c>
      <c r="F34" s="554">
        <f>SUM(F36:F39)</f>
        <v>68125</v>
      </c>
      <c r="G34" s="401">
        <f t="shared" si="1"/>
        <v>118.2561449798639</v>
      </c>
    </row>
    <row r="35" spans="1:7">
      <c r="A35" s="138"/>
      <c r="B35" s="112"/>
      <c r="C35" s="108" t="s">
        <v>394</v>
      </c>
      <c r="D35" s="106" t="s">
        <v>147</v>
      </c>
      <c r="E35" s="165"/>
      <c r="F35" s="450"/>
      <c r="G35" s="401"/>
    </row>
    <row r="36" spans="1:7">
      <c r="A36" s="138"/>
      <c r="B36" s="112"/>
      <c r="C36" s="108" t="s">
        <v>393</v>
      </c>
      <c r="D36" s="528" t="s">
        <v>144</v>
      </c>
      <c r="E36" s="132">
        <v>45607</v>
      </c>
      <c r="F36" s="531">
        <v>55705</v>
      </c>
      <c r="G36" s="472">
        <f t="shared" si="1"/>
        <v>122.1413379525073</v>
      </c>
    </row>
    <row r="37" spans="1:7">
      <c r="A37" s="138"/>
      <c r="B37" s="112"/>
      <c r="C37" s="108"/>
      <c r="D37" s="121" t="s">
        <v>267</v>
      </c>
      <c r="E37" s="132">
        <v>12000</v>
      </c>
      <c r="F37" s="531">
        <v>11800</v>
      </c>
      <c r="G37" s="472">
        <f t="shared" si="1"/>
        <v>98.333333333333329</v>
      </c>
    </row>
    <row r="38" spans="1:7">
      <c r="A38" s="138"/>
      <c r="B38" s="112"/>
      <c r="C38" s="108"/>
      <c r="D38" s="530" t="s">
        <v>141</v>
      </c>
      <c r="E38" s="132">
        <v>0</v>
      </c>
      <c r="F38" s="531">
        <v>220</v>
      </c>
      <c r="G38" s="472"/>
    </row>
    <row r="39" spans="1:7">
      <c r="A39" s="138"/>
      <c r="B39" s="112"/>
      <c r="C39" s="109" t="s">
        <v>391</v>
      </c>
      <c r="D39" s="109" t="s">
        <v>266</v>
      </c>
      <c r="E39" s="132">
        <v>1</v>
      </c>
      <c r="F39" s="637">
        <v>400</v>
      </c>
      <c r="G39" s="638">
        <f t="shared" si="1"/>
        <v>40000</v>
      </c>
    </row>
    <row r="40" spans="1:7">
      <c r="A40" s="138"/>
      <c r="B40" s="112"/>
      <c r="C40" s="115"/>
      <c r="D40" s="555"/>
      <c r="E40" s="118"/>
      <c r="F40" s="554"/>
      <c r="G40" s="553"/>
    </row>
    <row r="41" spans="1:7">
      <c r="A41" s="138"/>
      <c r="B41" s="112"/>
      <c r="C41" s="115"/>
      <c r="D41" s="129" t="s">
        <v>150</v>
      </c>
      <c r="E41" s="118">
        <f>E42</f>
        <v>480</v>
      </c>
      <c r="F41" s="554">
        <f>F42</f>
        <v>480</v>
      </c>
      <c r="G41" s="401">
        <f t="shared" si="1"/>
        <v>100</v>
      </c>
    </row>
    <row r="42" spans="1:7">
      <c r="A42" s="138"/>
      <c r="B42" s="112"/>
      <c r="C42" s="109"/>
      <c r="D42" s="121" t="s">
        <v>117</v>
      </c>
      <c r="E42" s="532">
        <v>480</v>
      </c>
      <c r="F42" s="449">
        <v>480</v>
      </c>
      <c r="G42" s="472">
        <f t="shared" si="1"/>
        <v>100</v>
      </c>
    </row>
    <row r="43" spans="1:7" ht="15.75" thickBot="1">
      <c r="A43" s="181"/>
      <c r="B43" s="182"/>
      <c r="C43" s="159"/>
      <c r="D43" s="183"/>
      <c r="E43" s="183"/>
      <c r="F43" s="451"/>
      <c r="G43" s="442"/>
    </row>
    <row r="44" spans="1:7" ht="16.5" thickBot="1">
      <c r="A44" s="699" t="s">
        <v>21</v>
      </c>
      <c r="B44" s="700"/>
      <c r="C44" s="701"/>
      <c r="D44" s="55"/>
      <c r="E44" s="144">
        <f>E12+E8</f>
        <v>76507</v>
      </c>
      <c r="F44" s="144">
        <f>F12+F8</f>
        <v>86478</v>
      </c>
      <c r="G44" s="427">
        <f t="shared" si="1"/>
        <v>113.03279438482754</v>
      </c>
    </row>
    <row r="101" ht="15" customHeight="1"/>
    <row r="102" ht="15" customHeight="1"/>
    <row r="104" ht="15" customHeight="1"/>
    <row r="105" ht="15" customHeight="1"/>
    <row r="106" ht="15" customHeight="1"/>
  </sheetData>
  <mergeCells count="2">
    <mergeCell ref="B12:C12"/>
    <mergeCell ref="A44:C44"/>
  </mergeCells>
  <pageMargins left="0.31496062992125984" right="0" top="0.39370078740157483" bottom="0.19685039370078741" header="0" footer="0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0"/>
  <sheetViews>
    <sheetView topLeftCell="A20" zoomScaleNormal="100" workbookViewId="0">
      <selection activeCell="G23" sqref="G23"/>
    </sheetView>
  </sheetViews>
  <sheetFormatPr defaultRowHeight="15"/>
  <cols>
    <col min="1" max="2" width="12.7109375" customWidth="1"/>
    <col min="3" max="3" width="55" customWidth="1"/>
    <col min="4" max="4" width="46.42578125" customWidth="1"/>
    <col min="5" max="7" width="14.7109375" customWidth="1"/>
  </cols>
  <sheetData>
    <row r="1" spans="1:7" ht="18">
      <c r="A1" s="57" t="s">
        <v>151</v>
      </c>
      <c r="B1" s="17"/>
      <c r="C1" s="58"/>
      <c r="D1" s="17"/>
      <c r="E1" s="17"/>
    </row>
    <row r="2" spans="1:7" ht="16.5" thickBot="1">
      <c r="A2" s="17"/>
      <c r="B2" s="57"/>
      <c r="C2" s="57"/>
      <c r="D2" s="17"/>
      <c r="E2" s="59"/>
      <c r="G2" s="479" t="s">
        <v>365</v>
      </c>
    </row>
    <row r="3" spans="1:7">
      <c r="A3" s="32" t="s">
        <v>1</v>
      </c>
      <c r="B3" s="34" t="s">
        <v>2</v>
      </c>
      <c r="C3" s="33" t="s">
        <v>3</v>
      </c>
      <c r="D3" s="35"/>
      <c r="E3" s="81" t="s">
        <v>4</v>
      </c>
      <c r="F3" s="81" t="s">
        <v>308</v>
      </c>
      <c r="G3" s="397" t="s">
        <v>309</v>
      </c>
    </row>
    <row r="4" spans="1:7">
      <c r="A4" s="36" t="s">
        <v>5</v>
      </c>
      <c r="B4" s="38" t="s">
        <v>6</v>
      </c>
      <c r="C4" s="37" t="s">
        <v>7</v>
      </c>
      <c r="D4" s="39" t="s">
        <v>8</v>
      </c>
      <c r="E4" s="84" t="s">
        <v>397</v>
      </c>
      <c r="F4" s="84" t="s">
        <v>273</v>
      </c>
      <c r="G4" s="398" t="s">
        <v>315</v>
      </c>
    </row>
    <row r="5" spans="1:7" ht="15.75" thickBot="1">
      <c r="A5" s="60" t="s">
        <v>9</v>
      </c>
      <c r="B5" s="42" t="s">
        <v>10</v>
      </c>
      <c r="C5" s="45"/>
      <c r="D5" s="43"/>
      <c r="E5" s="88" t="s">
        <v>245</v>
      </c>
      <c r="F5" s="88" t="s">
        <v>314</v>
      </c>
      <c r="G5" s="399" t="s">
        <v>310</v>
      </c>
    </row>
    <row r="6" spans="1:7" ht="15.75">
      <c r="A6" s="247" t="s">
        <v>11</v>
      </c>
      <c r="B6" s="246"/>
      <c r="C6" s="246"/>
      <c r="D6" s="246"/>
      <c r="E6" s="246"/>
      <c r="F6" s="534"/>
      <c r="G6" s="380"/>
    </row>
    <row r="7" spans="1:7">
      <c r="A7" s="355" t="s">
        <v>332</v>
      </c>
      <c r="B7" s="704" t="s">
        <v>198</v>
      </c>
      <c r="C7" s="705"/>
      <c r="D7" s="246"/>
      <c r="E7" s="535">
        <f>SUM(E8:E10)+E12</f>
        <v>20</v>
      </c>
      <c r="F7" s="535">
        <f>SUM(F8:F10)+F12</f>
        <v>1500</v>
      </c>
      <c r="G7" s="401">
        <f>F7/E7*100</f>
        <v>7500</v>
      </c>
    </row>
    <row r="8" spans="1:7" ht="15.75">
      <c r="A8" s="247"/>
      <c r="B8" s="246"/>
      <c r="C8" s="246" t="s">
        <v>322</v>
      </c>
      <c r="D8" s="179" t="s">
        <v>167</v>
      </c>
      <c r="E8" s="246"/>
      <c r="F8" s="536">
        <v>200</v>
      </c>
      <c r="G8" s="401"/>
    </row>
    <row r="9" spans="1:7" ht="15.75">
      <c r="A9" s="247"/>
      <c r="B9" s="246"/>
      <c r="C9" s="246" t="s">
        <v>333</v>
      </c>
      <c r="D9" s="179" t="s">
        <v>167</v>
      </c>
      <c r="E9" s="246"/>
      <c r="F9" s="537">
        <v>500</v>
      </c>
      <c r="G9" s="401"/>
    </row>
    <row r="10" spans="1:7" ht="15.75">
      <c r="A10" s="247"/>
      <c r="B10" s="246"/>
      <c r="C10" s="353" t="s">
        <v>327</v>
      </c>
      <c r="D10" s="173" t="s">
        <v>167</v>
      </c>
      <c r="E10" s="246"/>
      <c r="F10" s="537">
        <f>500+300</f>
        <v>800</v>
      </c>
      <c r="G10" s="401"/>
    </row>
    <row r="11" spans="1:7" ht="15.75">
      <c r="A11" s="247"/>
      <c r="B11" s="246"/>
      <c r="C11" s="152" t="s">
        <v>341</v>
      </c>
      <c r="D11" s="152"/>
      <c r="E11" s="186"/>
      <c r="F11" s="186"/>
      <c r="G11" s="400"/>
    </row>
    <row r="12" spans="1:7" ht="15.75">
      <c r="A12" s="247"/>
      <c r="B12" s="246"/>
      <c r="C12" s="193" t="s">
        <v>279</v>
      </c>
      <c r="D12" s="173" t="s">
        <v>154</v>
      </c>
      <c r="E12" s="163">
        <v>20</v>
      </c>
      <c r="F12" s="538"/>
      <c r="G12" s="401">
        <f t="shared" ref="G12" si="0">(F12/E12)*100</f>
        <v>0</v>
      </c>
    </row>
    <row r="13" spans="1:7" ht="15.75">
      <c r="A13" s="247"/>
      <c r="B13" s="246"/>
      <c r="C13" s="353"/>
      <c r="D13" s="246"/>
      <c r="E13" s="246"/>
      <c r="F13" s="538"/>
      <c r="G13" s="401"/>
    </row>
    <row r="14" spans="1:7">
      <c r="A14" s="198" t="s">
        <v>152</v>
      </c>
      <c r="B14" s="238" t="s">
        <v>392</v>
      </c>
      <c r="C14" s="238"/>
      <c r="D14" s="219"/>
      <c r="E14" s="225">
        <f>SUM(E15:E28)</f>
        <v>12406</v>
      </c>
      <c r="F14" s="225">
        <f>SUM(F15:F32)</f>
        <v>17260</v>
      </c>
      <c r="G14" s="400">
        <f t="shared" ref="G14:G39" si="1">(F14/E14)*100</f>
        <v>139.12622924391425</v>
      </c>
    </row>
    <row r="15" spans="1:7">
      <c r="A15" s="198"/>
      <c r="B15" s="244">
        <v>611</v>
      </c>
      <c r="C15" s="193" t="s">
        <v>153</v>
      </c>
      <c r="D15" s="173" t="s">
        <v>154</v>
      </c>
      <c r="E15" s="318">
        <v>1985</v>
      </c>
      <c r="F15" s="318">
        <v>1900</v>
      </c>
      <c r="G15" s="401">
        <f t="shared" si="1"/>
        <v>95.71788413098237</v>
      </c>
    </row>
    <row r="16" spans="1:7">
      <c r="A16" s="198"/>
      <c r="B16" s="237" t="s">
        <v>155</v>
      </c>
      <c r="C16" s="193" t="s">
        <v>385</v>
      </c>
      <c r="D16" s="236" t="s">
        <v>156</v>
      </c>
      <c r="E16" s="317">
        <v>2000</v>
      </c>
      <c r="F16" s="317">
        <v>1900</v>
      </c>
      <c r="G16" s="401">
        <f t="shared" si="1"/>
        <v>95</v>
      </c>
    </row>
    <row r="17" spans="1:7">
      <c r="A17" s="175"/>
      <c r="B17" s="237" t="s">
        <v>157</v>
      </c>
      <c r="C17" s="193" t="s">
        <v>158</v>
      </c>
      <c r="D17" s="236" t="s">
        <v>159</v>
      </c>
      <c r="E17" s="317">
        <v>3800</v>
      </c>
      <c r="F17" s="317">
        <v>2600</v>
      </c>
      <c r="G17" s="401">
        <f t="shared" si="1"/>
        <v>68.421052631578945</v>
      </c>
    </row>
    <row r="18" spans="1:7" ht="15" customHeight="1">
      <c r="A18" s="175"/>
      <c r="B18" s="237" t="s">
        <v>160</v>
      </c>
      <c r="C18" s="173" t="s">
        <v>161</v>
      </c>
      <c r="D18" s="193" t="s">
        <v>162</v>
      </c>
      <c r="E18" s="317">
        <v>210</v>
      </c>
      <c r="F18" s="317">
        <v>648</v>
      </c>
      <c r="G18" s="401">
        <f t="shared" si="1"/>
        <v>308.57142857142861</v>
      </c>
    </row>
    <row r="19" spans="1:7">
      <c r="A19" s="242"/>
      <c r="B19" s="178"/>
      <c r="C19" s="179" t="s">
        <v>163</v>
      </c>
      <c r="D19" s="179" t="s">
        <v>277</v>
      </c>
      <c r="E19" s="706">
        <v>230</v>
      </c>
      <c r="F19" s="539"/>
      <c r="G19" s="708">
        <f>F20/E19*100</f>
        <v>0</v>
      </c>
    </row>
    <row r="20" spans="1:7">
      <c r="A20" s="195"/>
      <c r="B20" s="315"/>
      <c r="C20" s="211" t="s">
        <v>133</v>
      </c>
      <c r="D20" s="211" t="s">
        <v>278</v>
      </c>
      <c r="E20" s="707"/>
      <c r="F20" s="540"/>
      <c r="G20" s="709"/>
    </row>
    <row r="21" spans="1:7">
      <c r="A21" s="175"/>
      <c r="B21" s="237"/>
      <c r="C21" s="173" t="s">
        <v>164</v>
      </c>
      <c r="D21" s="173" t="s">
        <v>165</v>
      </c>
      <c r="E21" s="317">
        <v>10</v>
      </c>
      <c r="F21" s="317">
        <v>50</v>
      </c>
      <c r="G21" s="401">
        <f t="shared" si="1"/>
        <v>500</v>
      </c>
    </row>
    <row r="22" spans="1:7">
      <c r="A22" s="175"/>
      <c r="B22" s="237"/>
      <c r="C22" s="193" t="s">
        <v>166</v>
      </c>
      <c r="D22" s="173" t="s">
        <v>167</v>
      </c>
      <c r="E22" s="317">
        <v>280</v>
      </c>
      <c r="F22" s="317">
        <v>330</v>
      </c>
      <c r="G22" s="401">
        <f t="shared" si="1"/>
        <v>117.85714285714286</v>
      </c>
    </row>
    <row r="23" spans="1:7">
      <c r="A23" s="175"/>
      <c r="B23" s="237" t="s">
        <v>168</v>
      </c>
      <c r="C23" s="173" t="s">
        <v>169</v>
      </c>
      <c r="D23" s="173" t="s">
        <v>167</v>
      </c>
      <c r="E23" s="317">
        <v>1</v>
      </c>
      <c r="F23" s="317">
        <v>1</v>
      </c>
      <c r="G23" s="401">
        <f t="shared" si="1"/>
        <v>100</v>
      </c>
    </row>
    <row r="24" spans="1:7">
      <c r="A24" s="198"/>
      <c r="B24" s="238"/>
      <c r="C24" s="193" t="s">
        <v>170</v>
      </c>
      <c r="D24" s="193" t="s">
        <v>171</v>
      </c>
      <c r="E24" s="317">
        <v>300</v>
      </c>
      <c r="F24" s="317">
        <v>270</v>
      </c>
      <c r="G24" s="401">
        <f t="shared" si="1"/>
        <v>90</v>
      </c>
    </row>
    <row r="25" spans="1:7">
      <c r="A25" s="175"/>
      <c r="B25" s="192"/>
      <c r="C25" s="193" t="s">
        <v>297</v>
      </c>
      <c r="D25" s="193" t="s">
        <v>172</v>
      </c>
      <c r="E25" s="317">
        <v>3420</v>
      </c>
      <c r="F25" s="317">
        <v>3000</v>
      </c>
      <c r="G25" s="544">
        <f t="shared" si="1"/>
        <v>87.719298245614027</v>
      </c>
    </row>
    <row r="26" spans="1:7">
      <c r="A26" s="352"/>
      <c r="B26" s="192"/>
      <c r="C26" s="193" t="s">
        <v>321</v>
      </c>
      <c r="D26" s="193" t="s">
        <v>162</v>
      </c>
      <c r="E26" s="317">
        <v>170</v>
      </c>
      <c r="F26" s="317"/>
      <c r="G26" s="544">
        <f t="shared" si="1"/>
        <v>0</v>
      </c>
    </row>
    <row r="27" spans="1:7">
      <c r="A27" s="352"/>
      <c r="B27" s="237" t="s">
        <v>351</v>
      </c>
      <c r="C27" s="193" t="s">
        <v>350</v>
      </c>
      <c r="D27" s="193" t="s">
        <v>172</v>
      </c>
      <c r="E27" s="317"/>
      <c r="F27" s="317">
        <v>927</v>
      </c>
      <c r="G27" s="544"/>
    </row>
    <row r="28" spans="1:7">
      <c r="A28" s="358"/>
      <c r="B28" s="237" t="s">
        <v>320</v>
      </c>
      <c r="C28" s="193" t="s">
        <v>349</v>
      </c>
      <c r="D28" s="193" t="s">
        <v>162</v>
      </c>
      <c r="E28" s="317"/>
      <c r="F28" s="317">
        <f>4255+779</f>
        <v>5034</v>
      </c>
      <c r="G28" s="544"/>
    </row>
    <row r="29" spans="1:7">
      <c r="A29" s="394"/>
      <c r="B29" s="179"/>
      <c r="C29" s="714" t="s">
        <v>383</v>
      </c>
      <c r="D29" s="179" t="s">
        <v>277</v>
      </c>
      <c r="E29" s="179"/>
      <c r="F29" s="710">
        <v>500</v>
      </c>
      <c r="G29" s="452"/>
    </row>
    <row r="30" spans="1:7">
      <c r="A30" s="395"/>
      <c r="B30" s="211"/>
      <c r="C30" s="715"/>
      <c r="D30" s="211" t="s">
        <v>278</v>
      </c>
      <c r="E30" s="211"/>
      <c r="F30" s="711"/>
      <c r="G30" s="396"/>
    </row>
    <row r="31" spans="1:7">
      <c r="A31" s="394"/>
      <c r="B31" s="179"/>
      <c r="C31" s="179" t="s">
        <v>384</v>
      </c>
      <c r="D31" s="179" t="s">
        <v>277</v>
      </c>
      <c r="E31" s="179"/>
      <c r="F31" s="710">
        <v>100</v>
      </c>
      <c r="G31" s="452"/>
    </row>
    <row r="32" spans="1:7">
      <c r="A32" s="395"/>
      <c r="B32" s="211"/>
      <c r="C32" s="211"/>
      <c r="D32" s="211" t="s">
        <v>278</v>
      </c>
      <c r="E32" s="211"/>
      <c r="F32" s="711"/>
      <c r="G32" s="396"/>
    </row>
    <row r="33" spans="1:7">
      <c r="A33" s="175"/>
      <c r="B33" s="192"/>
      <c r="C33" s="193"/>
      <c r="D33" s="239"/>
      <c r="E33" s="163"/>
      <c r="F33" s="651"/>
      <c r="G33" s="544"/>
    </row>
    <row r="34" spans="1:7">
      <c r="A34" s="198" t="s">
        <v>173</v>
      </c>
      <c r="B34" s="238" t="s">
        <v>259</v>
      </c>
      <c r="C34" s="245"/>
      <c r="D34" s="245"/>
      <c r="E34" s="162">
        <f>SUM(E35:E38)</f>
        <v>765</v>
      </c>
      <c r="F34" s="162">
        <f>SUM(F35:F38)</f>
        <v>765</v>
      </c>
      <c r="G34" s="652">
        <f t="shared" si="1"/>
        <v>100</v>
      </c>
    </row>
    <row r="35" spans="1:7" ht="15" customHeight="1">
      <c r="A35" s="242"/>
      <c r="B35" s="178"/>
      <c r="C35" s="712" t="s">
        <v>381</v>
      </c>
      <c r="D35" s="714" t="s">
        <v>175</v>
      </c>
      <c r="E35" s="716">
        <v>300</v>
      </c>
      <c r="F35" s="706">
        <v>415</v>
      </c>
      <c r="G35" s="718">
        <f>(F35/E35)*100</f>
        <v>138.33333333333334</v>
      </c>
    </row>
    <row r="36" spans="1:7">
      <c r="A36" s="271"/>
      <c r="B36" s="269"/>
      <c r="C36" s="713"/>
      <c r="D36" s="715"/>
      <c r="E36" s="717"/>
      <c r="F36" s="707"/>
      <c r="G36" s="719"/>
    </row>
    <row r="37" spans="1:7">
      <c r="A37" s="175"/>
      <c r="B37" s="237" t="s">
        <v>176</v>
      </c>
      <c r="C37" s="193" t="s">
        <v>382</v>
      </c>
      <c r="D37" s="193" t="s">
        <v>175</v>
      </c>
      <c r="E37" s="164">
        <v>250</v>
      </c>
      <c r="F37" s="317">
        <v>250</v>
      </c>
      <c r="G37" s="544">
        <f t="shared" si="1"/>
        <v>100</v>
      </c>
    </row>
    <row r="38" spans="1:7" ht="15.75" thickBot="1">
      <c r="A38" s="242"/>
      <c r="B38" s="178"/>
      <c r="C38" s="153" t="s">
        <v>177</v>
      </c>
      <c r="D38" s="179" t="s">
        <v>167</v>
      </c>
      <c r="E38" s="188">
        <v>215</v>
      </c>
      <c r="F38" s="539">
        <v>100</v>
      </c>
      <c r="G38" s="653">
        <f t="shared" si="1"/>
        <v>46.511627906976742</v>
      </c>
    </row>
    <row r="39" spans="1:7" ht="16.5" thickBot="1">
      <c r="A39" s="702" t="s">
        <v>21</v>
      </c>
      <c r="B39" s="703"/>
      <c r="C39" s="703"/>
      <c r="D39" s="221"/>
      <c r="E39" s="208">
        <f>E14+E34+E7</f>
        <v>13191</v>
      </c>
      <c r="F39" s="208">
        <f>F14+F34+F7</f>
        <v>19525</v>
      </c>
      <c r="G39" s="556">
        <f t="shared" si="1"/>
        <v>148.01758774922297</v>
      </c>
    </row>
    <row r="40" spans="1:7">
      <c r="A40" s="143"/>
      <c r="B40" s="143"/>
      <c r="C40" s="143"/>
      <c r="D40" s="143"/>
      <c r="E40" s="143"/>
    </row>
  </sheetData>
  <mergeCells count="12">
    <mergeCell ref="A39:C39"/>
    <mergeCell ref="B7:C7"/>
    <mergeCell ref="E19:E20"/>
    <mergeCell ref="G19:G20"/>
    <mergeCell ref="F29:F30"/>
    <mergeCell ref="F31:F32"/>
    <mergeCell ref="C35:C36"/>
    <mergeCell ref="D35:D36"/>
    <mergeCell ref="E35:E36"/>
    <mergeCell ref="F35:F36"/>
    <mergeCell ref="G35:G36"/>
    <mergeCell ref="C29:C30"/>
  </mergeCells>
  <pageMargins left="0.31496062992125984" right="0" top="0.19685039370078741" bottom="0.19685039370078741" header="0" footer="0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6:G39"/>
  <sheetViews>
    <sheetView topLeftCell="A10" workbookViewId="0">
      <selection activeCell="G23" sqref="G23"/>
    </sheetView>
  </sheetViews>
  <sheetFormatPr defaultRowHeight="15"/>
  <cols>
    <col min="1" max="1" width="11.42578125" customWidth="1"/>
    <col min="2" max="2" width="12.7109375" customWidth="1"/>
    <col min="3" max="3" width="46" customWidth="1"/>
    <col min="4" max="4" width="44.85546875" customWidth="1"/>
    <col min="5" max="5" width="14.5703125" customWidth="1"/>
    <col min="6" max="6" width="13.28515625" customWidth="1"/>
    <col min="7" max="7" width="14.7109375" customWidth="1"/>
  </cols>
  <sheetData>
    <row r="6" spans="1:7" ht="15.75">
      <c r="A6" s="61" t="s">
        <v>178</v>
      </c>
      <c r="B6" s="62"/>
      <c r="C6" s="62"/>
    </row>
    <row r="7" spans="1:7" ht="15.75" thickBot="1">
      <c r="E7" s="3"/>
      <c r="G7" s="479" t="s">
        <v>366</v>
      </c>
    </row>
    <row r="8" spans="1:7" ht="14.1" customHeight="1">
      <c r="A8" s="46" t="s">
        <v>1</v>
      </c>
      <c r="B8" s="47" t="s">
        <v>2</v>
      </c>
      <c r="C8" s="520" t="s">
        <v>3</v>
      </c>
      <c r="D8" s="63"/>
      <c r="E8" s="81" t="s">
        <v>4</v>
      </c>
      <c r="F8" s="81" t="s">
        <v>308</v>
      </c>
      <c r="G8" s="397" t="s">
        <v>309</v>
      </c>
    </row>
    <row r="9" spans="1:7" ht="14.1" customHeight="1">
      <c r="A9" s="48" t="s">
        <v>5</v>
      </c>
      <c r="B9" s="526" t="s">
        <v>6</v>
      </c>
      <c r="C9" s="521" t="s">
        <v>7</v>
      </c>
      <c r="D9" s="49" t="s">
        <v>8</v>
      </c>
      <c r="E9" s="84" t="s">
        <v>397</v>
      </c>
      <c r="F9" s="84" t="s">
        <v>273</v>
      </c>
      <c r="G9" s="398" t="s">
        <v>315</v>
      </c>
    </row>
    <row r="10" spans="1:7" ht="14.1" customHeight="1" thickBot="1">
      <c r="A10" s="50" t="s">
        <v>9</v>
      </c>
      <c r="B10" s="527" t="s">
        <v>10</v>
      </c>
      <c r="C10" s="522"/>
      <c r="D10" s="51"/>
      <c r="E10" s="88" t="s">
        <v>245</v>
      </c>
      <c r="F10" s="88" t="s">
        <v>314</v>
      </c>
      <c r="G10" s="399" t="s">
        <v>310</v>
      </c>
    </row>
    <row r="11" spans="1:7" ht="15.75">
      <c r="A11" s="64" t="s">
        <v>11</v>
      </c>
      <c r="B11" s="65"/>
      <c r="C11" s="66"/>
      <c r="D11" s="56"/>
      <c r="E11" s="8"/>
      <c r="F11" s="453"/>
      <c r="G11" s="380"/>
    </row>
    <row r="12" spans="1:7" ht="15" customHeight="1">
      <c r="A12" s="557" t="s">
        <v>274</v>
      </c>
      <c r="B12" s="720" t="s">
        <v>259</v>
      </c>
      <c r="C12" s="721"/>
      <c r="D12" s="558"/>
      <c r="E12" s="559">
        <f>SUM(E13+E26)</f>
        <v>8620</v>
      </c>
      <c r="F12" s="559">
        <f>SUM(F13+F26)</f>
        <v>7740</v>
      </c>
      <c r="G12" s="560">
        <f t="shared" ref="G12:G30" si="0">(F12/E12)*100</f>
        <v>89.791183294663568</v>
      </c>
    </row>
    <row r="13" spans="1:7" ht="15" customHeight="1">
      <c r="A13" s="557"/>
      <c r="B13" s="561"/>
      <c r="C13" s="562" t="s">
        <v>275</v>
      </c>
      <c r="D13" s="563"/>
      <c r="E13" s="564">
        <f>E14+E16+E22</f>
        <v>560</v>
      </c>
      <c r="F13" s="559">
        <f>F14+F16+F22</f>
        <v>790</v>
      </c>
      <c r="G13" s="560">
        <f t="shared" si="0"/>
        <v>141.07142857142858</v>
      </c>
    </row>
    <row r="14" spans="1:7" ht="15" customHeight="1">
      <c r="A14" s="565"/>
      <c r="B14" s="561"/>
      <c r="C14" s="505" t="s">
        <v>386</v>
      </c>
      <c r="D14" s="639" t="s">
        <v>179</v>
      </c>
      <c r="E14" s="390">
        <v>80</v>
      </c>
      <c r="F14" s="443">
        <v>80</v>
      </c>
      <c r="G14" s="566">
        <f t="shared" si="0"/>
        <v>100</v>
      </c>
    </row>
    <row r="15" spans="1:7" ht="15" customHeight="1">
      <c r="A15" s="565"/>
      <c r="B15" s="561"/>
      <c r="C15" s="505"/>
      <c r="D15" s="558"/>
      <c r="E15" s="567"/>
      <c r="F15" s="443"/>
      <c r="G15" s="566"/>
    </row>
    <row r="16" spans="1:7" ht="15" customHeight="1">
      <c r="A16" s="568"/>
      <c r="B16" s="569"/>
      <c r="C16" s="570" t="s">
        <v>180</v>
      </c>
      <c r="D16" s="571" t="s">
        <v>179</v>
      </c>
      <c r="E16" s="640">
        <v>210</v>
      </c>
      <c r="F16" s="515">
        <f>F17+F18+F19+F20</f>
        <v>310</v>
      </c>
      <c r="G16" s="566">
        <f t="shared" si="0"/>
        <v>147.61904761904762</v>
      </c>
    </row>
    <row r="17" spans="1:7" ht="15" customHeight="1">
      <c r="A17" s="568"/>
      <c r="B17" s="569"/>
      <c r="C17" s="570"/>
      <c r="D17" s="577" t="s">
        <v>182</v>
      </c>
      <c r="E17" s="641">
        <v>10</v>
      </c>
      <c r="F17" s="641">
        <v>10</v>
      </c>
      <c r="G17" s="642">
        <f t="shared" si="0"/>
        <v>100</v>
      </c>
    </row>
    <row r="18" spans="1:7" ht="15" customHeight="1">
      <c r="A18" s="568"/>
      <c r="B18" s="569"/>
      <c r="C18" s="570"/>
      <c r="D18" s="643" t="s">
        <v>395</v>
      </c>
      <c r="E18" s="641">
        <v>5</v>
      </c>
      <c r="F18" s="641">
        <v>5</v>
      </c>
      <c r="G18" s="642">
        <f t="shared" si="0"/>
        <v>100</v>
      </c>
    </row>
    <row r="19" spans="1:7" ht="15" customHeight="1">
      <c r="A19" s="568"/>
      <c r="B19" s="569"/>
      <c r="C19" s="570"/>
      <c r="D19" s="577" t="s">
        <v>117</v>
      </c>
      <c r="E19" s="641">
        <v>150</v>
      </c>
      <c r="F19" s="641">
        <v>250</v>
      </c>
      <c r="G19" s="642">
        <f t="shared" si="0"/>
        <v>166.66666666666669</v>
      </c>
    </row>
    <row r="20" spans="1:7" ht="15" customHeight="1">
      <c r="A20" s="568"/>
      <c r="B20" s="569"/>
      <c r="C20" s="570"/>
      <c r="D20" s="577" t="s">
        <v>184</v>
      </c>
      <c r="E20" s="641">
        <v>45</v>
      </c>
      <c r="F20" s="641">
        <v>45</v>
      </c>
      <c r="G20" s="642">
        <f t="shared" si="0"/>
        <v>100</v>
      </c>
    </row>
    <row r="21" spans="1:7" ht="15" customHeight="1">
      <c r="A21" s="568"/>
      <c r="B21" s="569"/>
      <c r="C21" s="570"/>
      <c r="D21" s="571"/>
      <c r="E21" s="567"/>
      <c r="F21" s="443"/>
      <c r="G21" s="566"/>
    </row>
    <row r="22" spans="1:7" ht="15" customHeight="1">
      <c r="A22" s="565"/>
      <c r="B22" s="572"/>
      <c r="C22" s="573"/>
      <c r="D22" s="646" t="s">
        <v>186</v>
      </c>
      <c r="E22" s="640">
        <f>SUM(E23:E24)</f>
        <v>270</v>
      </c>
      <c r="F22" s="647">
        <f>SUM(F23:F24)</f>
        <v>400</v>
      </c>
      <c r="G22" s="566">
        <f t="shared" si="0"/>
        <v>148.14814814814815</v>
      </c>
    </row>
    <row r="23" spans="1:7" ht="15" customHeight="1">
      <c r="A23" s="574"/>
      <c r="B23" s="575"/>
      <c r="C23" s="576" t="s">
        <v>185</v>
      </c>
      <c r="D23" s="608" t="s">
        <v>224</v>
      </c>
      <c r="E23" s="641">
        <v>150</v>
      </c>
      <c r="F23" s="644">
        <v>150</v>
      </c>
      <c r="G23" s="642">
        <f t="shared" si="0"/>
        <v>100</v>
      </c>
    </row>
    <row r="24" spans="1:7" ht="15" customHeight="1">
      <c r="A24" s="574"/>
      <c r="B24" s="575"/>
      <c r="C24" s="645" t="s">
        <v>323</v>
      </c>
      <c r="D24" s="577" t="s">
        <v>135</v>
      </c>
      <c r="E24" s="578">
        <v>120</v>
      </c>
      <c r="F24" s="644">
        <v>250</v>
      </c>
      <c r="G24" s="642">
        <f t="shared" si="0"/>
        <v>208.33333333333334</v>
      </c>
    </row>
    <row r="25" spans="1:7" ht="15" customHeight="1">
      <c r="A25" s="574"/>
      <c r="B25" s="575"/>
      <c r="C25" s="576"/>
      <c r="D25" s="577"/>
      <c r="E25" s="578"/>
      <c r="F25" s="443"/>
      <c r="G25" s="566"/>
    </row>
    <row r="26" spans="1:7" ht="15" customHeight="1">
      <c r="A26" s="574"/>
      <c r="B26" s="575"/>
      <c r="C26" s="579" t="s">
        <v>276</v>
      </c>
      <c r="D26" s="577"/>
      <c r="E26" s="559">
        <f>SUM(E27:E29)</f>
        <v>8060</v>
      </c>
      <c r="F26" s="559">
        <f>F27+F29+F28</f>
        <v>6950</v>
      </c>
      <c r="G26" s="560">
        <f t="shared" si="0"/>
        <v>86.228287841191062</v>
      </c>
    </row>
    <row r="27" spans="1:7" ht="15" customHeight="1">
      <c r="A27" s="580"/>
      <c r="B27" s="581">
        <v>911</v>
      </c>
      <c r="C27" s="575" t="s">
        <v>405</v>
      </c>
      <c r="D27" s="583" t="s">
        <v>186</v>
      </c>
      <c r="E27" s="515">
        <v>2800</v>
      </c>
      <c r="F27" s="654">
        <v>2400</v>
      </c>
      <c r="G27" s="584">
        <f t="shared" si="0"/>
        <v>85.714285714285708</v>
      </c>
    </row>
    <row r="28" spans="1:7" ht="15" customHeight="1">
      <c r="A28" s="580"/>
      <c r="B28" s="581">
        <v>9115</v>
      </c>
      <c r="C28" s="582" t="s">
        <v>404</v>
      </c>
      <c r="D28" s="583" t="s">
        <v>186</v>
      </c>
      <c r="E28" s="515">
        <v>80</v>
      </c>
      <c r="F28" s="547">
        <v>350</v>
      </c>
      <c r="G28" s="584">
        <f t="shared" si="0"/>
        <v>437.5</v>
      </c>
    </row>
    <row r="29" spans="1:7" ht="15" customHeight="1" thickBot="1">
      <c r="A29" s="574"/>
      <c r="B29" s="585">
        <v>9117</v>
      </c>
      <c r="C29" s="575" t="s">
        <v>244</v>
      </c>
      <c r="D29" s="586" t="s">
        <v>186</v>
      </c>
      <c r="E29" s="587">
        <v>5180</v>
      </c>
      <c r="F29" s="655">
        <v>4200</v>
      </c>
      <c r="G29" s="588">
        <f t="shared" si="0"/>
        <v>81.081081081081081</v>
      </c>
    </row>
    <row r="30" spans="1:7" ht="16.5" thickBot="1">
      <c r="A30" s="722" t="s">
        <v>21</v>
      </c>
      <c r="B30" s="723"/>
      <c r="C30" s="724"/>
      <c r="D30" s="67"/>
      <c r="E30" s="145">
        <f>E12</f>
        <v>8620</v>
      </c>
      <c r="F30" s="144">
        <f>F12</f>
        <v>7740</v>
      </c>
      <c r="G30" s="427">
        <f t="shared" si="0"/>
        <v>89.791183294663568</v>
      </c>
    </row>
    <row r="31" spans="1:7" ht="14.1" customHeight="1">
      <c r="A31" s="143"/>
      <c r="B31" s="143"/>
      <c r="C31" s="143"/>
      <c r="D31" s="143"/>
      <c r="E31" s="143"/>
    </row>
    <row r="32" spans="1:7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7.25" customHeight="1"/>
    <row r="39" ht="13.5" customHeight="1"/>
  </sheetData>
  <mergeCells count="2">
    <mergeCell ref="B12:C12"/>
    <mergeCell ref="A30:C30"/>
  </mergeCells>
  <pageMargins left="0.31496062992125984" right="0" top="0.19685039370078741" bottom="0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G23" sqref="G23"/>
    </sheetView>
  </sheetViews>
  <sheetFormatPr defaultRowHeight="15"/>
  <cols>
    <col min="1" max="2" width="12.7109375" customWidth="1"/>
    <col min="3" max="3" width="41.7109375" customWidth="1"/>
    <col min="4" max="4" width="44.85546875" customWidth="1"/>
    <col min="5" max="7" width="14.7109375" customWidth="1"/>
  </cols>
  <sheetData>
    <row r="1" spans="1:7" ht="15.75">
      <c r="A1" s="725" t="s">
        <v>188</v>
      </c>
      <c r="B1" s="725"/>
      <c r="C1" s="725"/>
      <c r="D1" s="725"/>
      <c r="E1" s="79"/>
    </row>
    <row r="2" spans="1:7" ht="16.5" thickBot="1">
      <c r="A2" s="478"/>
      <c r="B2" s="478"/>
      <c r="C2" s="478"/>
      <c r="D2" s="478"/>
      <c r="E2" s="79"/>
      <c r="G2" s="479" t="s">
        <v>367</v>
      </c>
    </row>
    <row r="3" spans="1:7">
      <c r="A3" s="97" t="s">
        <v>1</v>
      </c>
      <c r="B3" s="81" t="s">
        <v>2</v>
      </c>
      <c r="C3" s="98" t="s">
        <v>3</v>
      </c>
      <c r="D3" s="83"/>
      <c r="E3" s="81" t="s">
        <v>4</v>
      </c>
      <c r="F3" s="81" t="s">
        <v>308</v>
      </c>
      <c r="G3" s="397" t="s">
        <v>309</v>
      </c>
    </row>
    <row r="4" spans="1:7">
      <c r="A4" s="99" t="s">
        <v>5</v>
      </c>
      <c r="B4" s="84" t="s">
        <v>6</v>
      </c>
      <c r="C4" s="100" t="s">
        <v>7</v>
      </c>
      <c r="D4" s="86" t="s">
        <v>8</v>
      </c>
      <c r="E4" s="84" t="s">
        <v>397</v>
      </c>
      <c r="F4" s="84" t="s">
        <v>273</v>
      </c>
      <c r="G4" s="398" t="s">
        <v>315</v>
      </c>
    </row>
    <row r="5" spans="1:7" ht="15.75" thickBot="1">
      <c r="A5" s="101" t="s">
        <v>9</v>
      </c>
      <c r="B5" s="88" t="s">
        <v>10</v>
      </c>
      <c r="C5" s="102"/>
      <c r="D5" s="90"/>
      <c r="E5" s="88" t="s">
        <v>245</v>
      </c>
      <c r="F5" s="88" t="s">
        <v>314</v>
      </c>
      <c r="G5" s="399" t="s">
        <v>310</v>
      </c>
    </row>
    <row r="6" spans="1:7" ht="15.75">
      <c r="A6" s="463" t="s">
        <v>11</v>
      </c>
      <c r="B6" s="424"/>
      <c r="C6" s="464"/>
      <c r="D6" s="465"/>
      <c r="E6" s="466"/>
      <c r="F6" s="467"/>
      <c r="G6" s="420"/>
    </row>
    <row r="7" spans="1:7" ht="15.75">
      <c r="A7" s="228" t="s">
        <v>189</v>
      </c>
      <c r="B7" s="229" t="s">
        <v>271</v>
      </c>
      <c r="C7" s="230"/>
      <c r="D7" s="231"/>
      <c r="E7" s="232">
        <f>SUM(E8:E11)</f>
        <v>2586</v>
      </c>
      <c r="F7" s="454">
        <f>SUM(F8:F13)</f>
        <v>13700</v>
      </c>
      <c r="G7" s="400">
        <f t="shared" ref="G7:G17" si="0">(F7/E7)*100</f>
        <v>529.77571539056453</v>
      </c>
    </row>
    <row r="8" spans="1:7" ht="15.75">
      <c r="A8" s="209"/>
      <c r="B8" s="210"/>
      <c r="C8" s="173" t="s">
        <v>30</v>
      </c>
      <c r="D8" s="211" t="s">
        <v>193</v>
      </c>
      <c r="E8" s="226">
        <v>800</v>
      </c>
      <c r="F8" s="455">
        <v>1000</v>
      </c>
      <c r="G8" s="401">
        <f t="shared" si="0"/>
        <v>125</v>
      </c>
    </row>
    <row r="9" spans="1:7" ht="15.75">
      <c r="A9" s="212"/>
      <c r="B9" s="213"/>
      <c r="C9" s="214" t="s">
        <v>191</v>
      </c>
      <c r="D9" s="215" t="s">
        <v>18</v>
      </c>
      <c r="E9" s="728">
        <v>50</v>
      </c>
      <c r="F9" s="456"/>
      <c r="G9" s="730">
        <f>F9/E9*100</f>
        <v>0</v>
      </c>
    </row>
    <row r="10" spans="1:7" ht="15.75">
      <c r="A10" s="212"/>
      <c r="B10" s="213"/>
      <c r="C10" s="214" t="s">
        <v>192</v>
      </c>
      <c r="D10" s="211" t="s">
        <v>19</v>
      </c>
      <c r="E10" s="729"/>
      <c r="F10" s="457"/>
      <c r="G10" s="731"/>
    </row>
    <row r="11" spans="1:7" ht="15.75">
      <c r="A11" s="209"/>
      <c r="B11" s="210"/>
      <c r="C11" s="173" t="s">
        <v>387</v>
      </c>
      <c r="D11" s="173" t="s">
        <v>190</v>
      </c>
      <c r="E11" s="316">
        <v>1736</v>
      </c>
      <c r="F11" s="458">
        <v>2500</v>
      </c>
      <c r="G11" s="401">
        <f t="shared" si="0"/>
        <v>144.00921658986175</v>
      </c>
    </row>
    <row r="12" spans="1:7" ht="15.75">
      <c r="A12" s="216"/>
      <c r="B12" s="217"/>
      <c r="C12" s="218" t="s">
        <v>342</v>
      </c>
      <c r="D12" s="211" t="s">
        <v>193</v>
      </c>
      <c r="E12" s="316"/>
      <c r="F12" s="318">
        <v>9000</v>
      </c>
      <c r="G12" s="401"/>
    </row>
    <row r="13" spans="1:7" ht="15.75">
      <c r="A13" s="216"/>
      <c r="B13" s="217"/>
      <c r="C13" s="218" t="s">
        <v>362</v>
      </c>
      <c r="D13" s="211" t="s">
        <v>193</v>
      </c>
      <c r="E13" s="147"/>
      <c r="F13" s="318">
        <v>1200</v>
      </c>
      <c r="G13" s="401"/>
    </row>
    <row r="14" spans="1:7" ht="15.75">
      <c r="A14" s="216"/>
      <c r="B14" s="514"/>
      <c r="C14" s="218"/>
      <c r="D14" s="211"/>
      <c r="E14" s="147"/>
      <c r="F14" s="455"/>
      <c r="G14" s="401"/>
    </row>
    <row r="15" spans="1:7">
      <c r="A15" s="198" t="s">
        <v>272</v>
      </c>
      <c r="B15" s="726" t="s">
        <v>262</v>
      </c>
      <c r="C15" s="727"/>
      <c r="D15" s="219"/>
      <c r="E15" s="227">
        <f>E16</f>
        <v>450</v>
      </c>
      <c r="F15" s="459">
        <f>F16</f>
        <v>400</v>
      </c>
      <c r="G15" s="400">
        <f t="shared" si="0"/>
        <v>88.888888888888886</v>
      </c>
    </row>
    <row r="16" spans="1:7" ht="15.75" thickBot="1">
      <c r="A16" s="461"/>
      <c r="B16" s="462"/>
      <c r="C16" s="319" t="s">
        <v>194</v>
      </c>
      <c r="D16" s="214" t="s">
        <v>195</v>
      </c>
      <c r="E16" s="183">
        <v>450</v>
      </c>
      <c r="F16" s="455">
        <v>400</v>
      </c>
      <c r="G16" s="407">
        <f t="shared" si="0"/>
        <v>88.888888888888886</v>
      </c>
    </row>
    <row r="17" spans="1:7" ht="16.5" thickBot="1">
      <c r="A17" s="671" t="s">
        <v>21</v>
      </c>
      <c r="B17" s="672"/>
      <c r="C17" s="673"/>
      <c r="D17" s="221"/>
      <c r="E17" s="189">
        <f>E15+E7</f>
        <v>3036</v>
      </c>
      <c r="F17" s="460">
        <f>F15+F7</f>
        <v>14100</v>
      </c>
      <c r="G17" s="427">
        <f t="shared" si="0"/>
        <v>464.42687747035575</v>
      </c>
    </row>
    <row r="18" spans="1:7" ht="15.75">
      <c r="A18" s="222"/>
      <c r="B18" s="222"/>
      <c r="C18" s="222"/>
      <c r="D18" s="223"/>
      <c r="E18" s="224"/>
    </row>
    <row r="19" spans="1:7" s="343" customFormat="1" ht="12.75">
      <c r="A19" s="359"/>
      <c r="B19" s="360"/>
      <c r="C19" s="360"/>
      <c r="D19" s="361"/>
      <c r="E19" s="342"/>
    </row>
    <row r="30" spans="1:7" ht="19.5" customHeight="1"/>
    <row r="31" spans="1:7" ht="15.75" customHeight="1"/>
    <row r="32" spans="1:7" ht="15" customHeight="1"/>
    <row r="33" ht="18" customHeight="1"/>
    <row r="34" ht="15.75" customHeight="1"/>
    <row r="35" ht="15.75" customHeight="1"/>
    <row r="36" ht="15" customHeight="1"/>
  </sheetData>
  <mergeCells count="5">
    <mergeCell ref="A1:D1"/>
    <mergeCell ref="B15:C15"/>
    <mergeCell ref="A17:C17"/>
    <mergeCell ref="E9:E10"/>
    <mergeCell ref="G9:G10"/>
  </mergeCells>
  <printOptions horizontalCentered="1"/>
  <pageMargins left="0" right="0" top="0.39370078740157483" bottom="0" header="0" footer="0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95"/>
  <sheetViews>
    <sheetView topLeftCell="A65" zoomScaleNormal="100" workbookViewId="0">
      <selection activeCell="G23" sqref="G23"/>
    </sheetView>
  </sheetViews>
  <sheetFormatPr defaultRowHeight="15"/>
  <cols>
    <col min="2" max="2" width="9.85546875" customWidth="1"/>
    <col min="3" max="3" width="40.5703125" customWidth="1"/>
    <col min="4" max="4" width="50.5703125" customWidth="1"/>
    <col min="5" max="7" width="14.7109375" customWidth="1"/>
  </cols>
  <sheetData>
    <row r="1" spans="1:7" ht="14.25" customHeight="1" thickBot="1">
      <c r="A1" s="70"/>
      <c r="B1" s="732" t="s">
        <v>196</v>
      </c>
      <c r="C1" s="732"/>
      <c r="D1" s="732"/>
      <c r="E1" s="732"/>
      <c r="G1" s="479" t="s">
        <v>368</v>
      </c>
    </row>
    <row r="2" spans="1:7" ht="12" customHeight="1">
      <c r="A2" s="9" t="s">
        <v>1</v>
      </c>
      <c r="B2" s="4" t="s">
        <v>2</v>
      </c>
      <c r="C2" s="10" t="s">
        <v>3</v>
      </c>
      <c r="D2" s="71"/>
      <c r="E2" s="81" t="s">
        <v>4</v>
      </c>
      <c r="F2" s="81" t="s">
        <v>308</v>
      </c>
      <c r="G2" s="397" t="s">
        <v>309</v>
      </c>
    </row>
    <row r="3" spans="1:7" ht="12" customHeight="1">
      <c r="A3" s="11" t="s">
        <v>5</v>
      </c>
      <c r="B3" s="5" t="s">
        <v>6</v>
      </c>
      <c r="C3" s="12" t="s">
        <v>7</v>
      </c>
      <c r="D3" s="6" t="s">
        <v>8</v>
      </c>
      <c r="E3" s="84" t="s">
        <v>397</v>
      </c>
      <c r="F3" s="84" t="s">
        <v>273</v>
      </c>
      <c r="G3" s="398" t="s">
        <v>315</v>
      </c>
    </row>
    <row r="4" spans="1:7" ht="12" customHeight="1" thickBot="1">
      <c r="A4" s="13" t="s">
        <v>9</v>
      </c>
      <c r="B4" s="7" t="s">
        <v>10</v>
      </c>
      <c r="C4" s="14"/>
      <c r="D4" s="15"/>
      <c r="E4" s="88" t="s">
        <v>245</v>
      </c>
      <c r="F4" s="88" t="s">
        <v>314</v>
      </c>
      <c r="G4" s="399" t="s">
        <v>310</v>
      </c>
    </row>
    <row r="5" spans="1:7" ht="12.75" customHeight="1">
      <c r="A5" s="72" t="s">
        <v>11</v>
      </c>
      <c r="B5" s="69"/>
      <c r="C5" s="68"/>
      <c r="D5" s="73"/>
      <c r="E5" s="74"/>
      <c r="F5" s="468"/>
      <c r="G5" s="380"/>
    </row>
    <row r="6" spans="1:7" ht="12.75" customHeight="1">
      <c r="A6" s="104" t="s">
        <v>197</v>
      </c>
      <c r="B6" s="704" t="s">
        <v>198</v>
      </c>
      <c r="C6" s="705"/>
      <c r="D6" s="123"/>
      <c r="E6" s="117">
        <f>E7+E27</f>
        <v>218073</v>
      </c>
      <c r="F6" s="381">
        <f>F7+F27</f>
        <v>195802</v>
      </c>
      <c r="G6" s="400">
        <f t="shared" ref="G6:G51" si="0">(F6/E6)*100</f>
        <v>89.787364781518122</v>
      </c>
    </row>
    <row r="7" spans="1:7" ht="12.75" customHeight="1">
      <c r="A7" s="136"/>
      <c r="B7" s="122"/>
      <c r="C7" s="113"/>
      <c r="D7" s="123" t="s">
        <v>199</v>
      </c>
      <c r="E7" s="117">
        <f>SUM(E8:E25)</f>
        <v>203476</v>
      </c>
      <c r="F7" s="381">
        <f>SUM(F8:F26)</f>
        <v>180702</v>
      </c>
      <c r="G7" s="400">
        <f t="shared" si="0"/>
        <v>88.8075252118186</v>
      </c>
    </row>
    <row r="8" spans="1:7" ht="12.75" customHeight="1">
      <c r="A8" s="136"/>
      <c r="B8" s="595"/>
      <c r="C8" s="108"/>
      <c r="D8" s="121" t="s">
        <v>200</v>
      </c>
      <c r="E8" s="132">
        <v>136700</v>
      </c>
      <c r="F8" s="356">
        <v>120000</v>
      </c>
      <c r="G8" s="472">
        <f t="shared" si="0"/>
        <v>87.783467446964153</v>
      </c>
    </row>
    <row r="9" spans="1:7" ht="12.75" customHeight="1">
      <c r="A9" s="136"/>
      <c r="B9" s="595"/>
      <c r="C9" s="108"/>
      <c r="D9" s="121" t="s">
        <v>201</v>
      </c>
      <c r="E9" s="132">
        <v>4250</v>
      </c>
      <c r="F9" s="356">
        <f>4250+2000</f>
        <v>6250</v>
      </c>
      <c r="G9" s="472">
        <f t="shared" si="0"/>
        <v>147.05882352941177</v>
      </c>
    </row>
    <row r="10" spans="1:7" ht="12.75" customHeight="1">
      <c r="A10" s="136"/>
      <c r="B10" s="592" t="s">
        <v>293</v>
      </c>
      <c r="C10" s="108" t="s">
        <v>202</v>
      </c>
      <c r="D10" s="121" t="s">
        <v>203</v>
      </c>
      <c r="E10" s="132">
        <v>270</v>
      </c>
      <c r="F10" s="356">
        <v>270</v>
      </c>
      <c r="G10" s="472">
        <f t="shared" si="0"/>
        <v>100</v>
      </c>
    </row>
    <row r="11" spans="1:7" ht="12.75" customHeight="1">
      <c r="A11" s="136"/>
      <c r="B11" s="595"/>
      <c r="C11" s="108"/>
      <c r="D11" s="121" t="s">
        <v>204</v>
      </c>
      <c r="E11" s="132">
        <v>5000</v>
      </c>
      <c r="F11" s="356">
        <v>1000</v>
      </c>
      <c r="G11" s="472">
        <f t="shared" si="0"/>
        <v>20</v>
      </c>
    </row>
    <row r="12" spans="1:7" ht="12.75" customHeight="1">
      <c r="A12" s="136"/>
      <c r="B12" s="595"/>
      <c r="C12" s="108"/>
      <c r="D12" s="121" t="s">
        <v>205</v>
      </c>
      <c r="E12" s="132">
        <v>36671</v>
      </c>
      <c r="F12" s="356">
        <v>32825</v>
      </c>
      <c r="G12" s="472">
        <f t="shared" si="0"/>
        <v>89.512148564260585</v>
      </c>
    </row>
    <row r="13" spans="1:7" ht="12.75" customHeight="1">
      <c r="A13" s="136"/>
      <c r="B13" s="595"/>
      <c r="C13" s="108"/>
      <c r="D13" s="121" t="s">
        <v>206</v>
      </c>
      <c r="E13" s="132">
        <v>750</v>
      </c>
      <c r="F13" s="356">
        <v>750</v>
      </c>
      <c r="G13" s="472">
        <f t="shared" si="0"/>
        <v>100</v>
      </c>
    </row>
    <row r="14" spans="1:7" ht="12.75" customHeight="1">
      <c r="A14" s="136"/>
      <c r="B14" s="595"/>
      <c r="C14" s="108"/>
      <c r="D14" s="121" t="s">
        <v>207</v>
      </c>
      <c r="E14" s="132">
        <v>13264</v>
      </c>
      <c r="F14" s="356">
        <v>11781</v>
      </c>
      <c r="G14" s="472">
        <f t="shared" si="0"/>
        <v>88.819360675512669</v>
      </c>
    </row>
    <row r="15" spans="1:7" ht="12.75" customHeight="1">
      <c r="A15" s="136"/>
      <c r="B15" s="595"/>
      <c r="C15" s="108"/>
      <c r="D15" s="121" t="s">
        <v>208</v>
      </c>
      <c r="E15" s="132">
        <v>665</v>
      </c>
      <c r="F15" s="356">
        <v>590</v>
      </c>
      <c r="G15" s="472">
        <f t="shared" si="0"/>
        <v>88.721804511278194</v>
      </c>
    </row>
    <row r="16" spans="1:7" s="54" customFormat="1" ht="12.75" customHeight="1">
      <c r="A16" s="136"/>
      <c r="B16" s="595"/>
      <c r="C16" s="108"/>
      <c r="D16" s="121" t="s">
        <v>137</v>
      </c>
      <c r="E16" s="132">
        <v>2380</v>
      </c>
      <c r="F16" s="356">
        <v>3000</v>
      </c>
      <c r="G16" s="472">
        <f t="shared" si="0"/>
        <v>126.05042016806722</v>
      </c>
    </row>
    <row r="17" spans="1:7" ht="12.75" customHeight="1">
      <c r="A17" s="589"/>
      <c r="B17" s="596"/>
      <c r="C17" s="597"/>
      <c r="D17" s="597" t="s">
        <v>246</v>
      </c>
      <c r="E17" s="235"/>
      <c r="F17" s="598"/>
      <c r="G17" s="599"/>
    </row>
    <row r="18" spans="1:7" ht="12.75" customHeight="1">
      <c r="A18" s="590"/>
      <c r="B18" s="600"/>
      <c r="C18" s="601"/>
      <c r="D18" s="601" t="s">
        <v>247</v>
      </c>
      <c r="E18" s="602">
        <v>540</v>
      </c>
      <c r="F18" s="603">
        <v>538</v>
      </c>
      <c r="G18" s="604">
        <f t="shared" si="0"/>
        <v>99.629629629629633</v>
      </c>
    </row>
    <row r="19" spans="1:7" ht="12.75" customHeight="1">
      <c r="A19" s="136"/>
      <c r="B19" s="595"/>
      <c r="C19" s="108" t="s">
        <v>202</v>
      </c>
      <c r="D19" s="121" t="s">
        <v>209</v>
      </c>
      <c r="E19" s="132">
        <v>23</v>
      </c>
      <c r="F19" s="356">
        <v>0</v>
      </c>
      <c r="G19" s="472">
        <f t="shared" si="0"/>
        <v>0</v>
      </c>
    </row>
    <row r="20" spans="1:7" ht="12.75" customHeight="1">
      <c r="A20" s="136"/>
      <c r="B20" s="595"/>
      <c r="C20" s="108"/>
      <c r="D20" s="121" t="s">
        <v>210</v>
      </c>
      <c r="E20" s="132">
        <v>30</v>
      </c>
      <c r="F20" s="356">
        <v>30</v>
      </c>
      <c r="G20" s="472">
        <f t="shared" si="0"/>
        <v>100</v>
      </c>
    </row>
    <row r="21" spans="1:7" ht="12.75" customHeight="1">
      <c r="A21" s="136"/>
      <c r="B21" s="595"/>
      <c r="C21" s="108" t="s">
        <v>202</v>
      </c>
      <c r="D21" s="121" t="s">
        <v>211</v>
      </c>
      <c r="E21" s="132">
        <v>2513</v>
      </c>
      <c r="F21" s="356">
        <v>1132</v>
      </c>
      <c r="G21" s="472">
        <f t="shared" si="0"/>
        <v>45.045762037405488</v>
      </c>
    </row>
    <row r="22" spans="1:7" ht="12.75" customHeight="1">
      <c r="A22" s="136"/>
      <c r="B22" s="595"/>
      <c r="C22" s="108" t="s">
        <v>202</v>
      </c>
      <c r="D22" s="121" t="s">
        <v>226</v>
      </c>
      <c r="E22" s="132"/>
      <c r="F22" s="132">
        <v>1234</v>
      </c>
      <c r="G22" s="593"/>
    </row>
    <row r="23" spans="1:7" ht="12.75" customHeight="1">
      <c r="A23" s="136"/>
      <c r="B23" s="595"/>
      <c r="C23" s="108" t="s">
        <v>202</v>
      </c>
      <c r="D23" s="121" t="s">
        <v>248</v>
      </c>
      <c r="E23" s="132">
        <v>400</v>
      </c>
      <c r="F23" s="132">
        <v>300</v>
      </c>
      <c r="G23" s="593">
        <f t="shared" si="0"/>
        <v>75</v>
      </c>
    </row>
    <row r="24" spans="1:7" ht="12.75" customHeight="1">
      <c r="A24" s="137"/>
      <c r="B24" s="596"/>
      <c r="C24" s="605"/>
      <c r="D24" s="606" t="s">
        <v>230</v>
      </c>
      <c r="E24" s="132">
        <v>20</v>
      </c>
      <c r="F24" s="132">
        <v>0</v>
      </c>
      <c r="G24" s="593">
        <f t="shared" si="0"/>
        <v>0</v>
      </c>
    </row>
    <row r="25" spans="1:7" s="54" customFormat="1" ht="12.75" customHeight="1">
      <c r="A25" s="136"/>
      <c r="B25" s="595"/>
      <c r="C25" s="607" t="s">
        <v>30</v>
      </c>
      <c r="D25" s="608" t="s">
        <v>141</v>
      </c>
      <c r="E25" s="609"/>
      <c r="F25" s="578">
        <v>1000</v>
      </c>
      <c r="G25" s="593"/>
    </row>
    <row r="26" spans="1:7" s="54" customFormat="1" ht="12.75" customHeight="1">
      <c r="A26" s="136"/>
      <c r="B26" s="595"/>
      <c r="C26" s="607" t="s">
        <v>406</v>
      </c>
      <c r="D26" s="608" t="s">
        <v>408</v>
      </c>
      <c r="E26" s="609"/>
      <c r="F26" s="578">
        <v>2</v>
      </c>
      <c r="G26" s="593"/>
    </row>
    <row r="27" spans="1:7" ht="12.75" customHeight="1">
      <c r="A27" s="136"/>
      <c r="B27" s="122"/>
      <c r="C27" s="113"/>
      <c r="D27" s="123" t="s">
        <v>212</v>
      </c>
      <c r="E27" s="117">
        <f>SUM(E28:E33)</f>
        <v>14597</v>
      </c>
      <c r="F27" s="117">
        <f>SUM(F28:F33)</f>
        <v>15100</v>
      </c>
      <c r="G27" s="652">
        <f t="shared" si="0"/>
        <v>103.44591354387889</v>
      </c>
    </row>
    <row r="28" spans="1:7" ht="12.75" customHeight="1">
      <c r="A28" s="136"/>
      <c r="B28" s="122"/>
      <c r="C28" s="114"/>
      <c r="D28" s="121" t="s">
        <v>213</v>
      </c>
      <c r="E28" s="132">
        <v>10700</v>
      </c>
      <c r="F28" s="132">
        <v>11075</v>
      </c>
      <c r="G28" s="593">
        <f t="shared" si="0"/>
        <v>103.50467289719627</v>
      </c>
    </row>
    <row r="29" spans="1:7" ht="12.75" customHeight="1">
      <c r="A29" s="136"/>
      <c r="B29" s="122"/>
      <c r="C29" s="114"/>
      <c r="D29" s="121" t="s">
        <v>205</v>
      </c>
      <c r="E29" s="132">
        <v>2675</v>
      </c>
      <c r="F29" s="132">
        <v>2769</v>
      </c>
      <c r="G29" s="593">
        <f t="shared" si="0"/>
        <v>103.51401869158879</v>
      </c>
    </row>
    <row r="30" spans="1:7" ht="12.75" customHeight="1">
      <c r="A30" s="136"/>
      <c r="B30" s="122"/>
      <c r="C30" s="114"/>
      <c r="D30" s="121" t="s">
        <v>206</v>
      </c>
      <c r="E30" s="132">
        <v>25</v>
      </c>
      <c r="F30" s="132">
        <v>25</v>
      </c>
      <c r="G30" s="593">
        <f t="shared" si="0"/>
        <v>100</v>
      </c>
    </row>
    <row r="31" spans="1:7" ht="12.75" customHeight="1">
      <c r="A31" s="136"/>
      <c r="B31" s="122"/>
      <c r="C31" s="114"/>
      <c r="D31" s="121" t="s">
        <v>207</v>
      </c>
      <c r="E31" s="132">
        <v>963</v>
      </c>
      <c r="F31" s="132">
        <v>997</v>
      </c>
      <c r="G31" s="593">
        <f t="shared" si="0"/>
        <v>103.5306334371755</v>
      </c>
    </row>
    <row r="32" spans="1:7" ht="12.75" customHeight="1">
      <c r="A32" s="136"/>
      <c r="B32" s="122"/>
      <c r="C32" s="108" t="s">
        <v>202</v>
      </c>
      <c r="D32" s="121" t="s">
        <v>214</v>
      </c>
      <c r="E32" s="132">
        <v>84</v>
      </c>
      <c r="F32" s="132">
        <v>84</v>
      </c>
      <c r="G32" s="593">
        <f t="shared" si="0"/>
        <v>100</v>
      </c>
    </row>
    <row r="33" spans="1:7" ht="12.75" customHeight="1">
      <c r="A33" s="136"/>
      <c r="B33" s="592" t="s">
        <v>292</v>
      </c>
      <c r="C33" s="108" t="s">
        <v>347</v>
      </c>
      <c r="D33" s="121" t="s">
        <v>243</v>
      </c>
      <c r="E33" s="609">
        <v>150</v>
      </c>
      <c r="F33" s="578">
        <v>150</v>
      </c>
      <c r="G33" s="593">
        <f t="shared" si="0"/>
        <v>100</v>
      </c>
    </row>
    <row r="34" spans="1:7" ht="12.75" customHeight="1">
      <c r="A34" s="136"/>
      <c r="B34" s="122"/>
      <c r="C34" s="108"/>
      <c r="D34" s="121"/>
      <c r="E34" s="609"/>
      <c r="F34" s="578"/>
      <c r="G34" s="593"/>
    </row>
    <row r="35" spans="1:7" ht="12.75" customHeight="1">
      <c r="A35" s="104" t="s">
        <v>249</v>
      </c>
      <c r="B35" s="704" t="s">
        <v>250</v>
      </c>
      <c r="C35" s="705"/>
      <c r="D35" s="123" t="s">
        <v>199</v>
      </c>
      <c r="E35" s="117">
        <f>E36</f>
        <v>55</v>
      </c>
      <c r="F35" s="117">
        <f>F36</f>
        <v>55</v>
      </c>
      <c r="G35" s="400">
        <f t="shared" si="0"/>
        <v>100</v>
      </c>
    </row>
    <row r="36" spans="1:7" ht="12.75" customHeight="1">
      <c r="A36" s="136"/>
      <c r="B36" s="139"/>
      <c r="C36" s="108"/>
      <c r="D36" s="124" t="s">
        <v>117</v>
      </c>
      <c r="E36" s="132">
        <v>55</v>
      </c>
      <c r="F36" s="356">
        <v>55</v>
      </c>
      <c r="G36" s="472">
        <f t="shared" si="0"/>
        <v>100</v>
      </c>
    </row>
    <row r="37" spans="1:7" ht="12.75" customHeight="1">
      <c r="A37" s="136"/>
      <c r="B37" s="122"/>
      <c r="C37" s="125"/>
      <c r="D37" s="126"/>
      <c r="E37" s="234"/>
      <c r="F37" s="473"/>
      <c r="G37" s="401"/>
    </row>
    <row r="38" spans="1:7" ht="12.75" customHeight="1">
      <c r="A38" s="104" t="s">
        <v>251</v>
      </c>
      <c r="B38" s="127" t="s">
        <v>174</v>
      </c>
      <c r="C38" s="128"/>
      <c r="D38" s="123"/>
      <c r="E38" s="117">
        <f>E39+E57</f>
        <v>64612</v>
      </c>
      <c r="F38" s="381">
        <f>F39+F57</f>
        <v>67296</v>
      </c>
      <c r="G38" s="400">
        <f t="shared" si="0"/>
        <v>104.15402711570607</v>
      </c>
    </row>
    <row r="39" spans="1:7" ht="12.75" customHeight="1">
      <c r="A39" s="104"/>
      <c r="B39" s="140"/>
      <c r="C39" s="141" t="s">
        <v>252</v>
      </c>
      <c r="D39" s="123" t="s">
        <v>199</v>
      </c>
      <c r="E39" s="117">
        <f>SUM(E40:E51)</f>
        <v>18287</v>
      </c>
      <c r="F39" s="117">
        <f>SUM(F40:F51)</f>
        <v>21200</v>
      </c>
      <c r="G39" s="400">
        <f t="shared" si="0"/>
        <v>115.92934871766829</v>
      </c>
    </row>
    <row r="40" spans="1:7" s="54" customFormat="1" ht="12.75" customHeight="1">
      <c r="A40" s="591"/>
      <c r="B40" s="116">
        <v>911</v>
      </c>
      <c r="C40" s="108"/>
      <c r="D40" s="121" t="s">
        <v>181</v>
      </c>
      <c r="E40" s="132">
        <v>2200</v>
      </c>
      <c r="F40" s="132">
        <v>2200</v>
      </c>
      <c r="G40" s="593">
        <f t="shared" si="0"/>
        <v>100</v>
      </c>
    </row>
    <row r="41" spans="1:7" s="54" customFormat="1" ht="12.75" customHeight="1">
      <c r="A41" s="591"/>
      <c r="B41" s="116">
        <v>911</v>
      </c>
      <c r="C41" s="108"/>
      <c r="D41" s="121" t="s">
        <v>136</v>
      </c>
      <c r="E41" s="132">
        <v>300</v>
      </c>
      <c r="F41" s="132">
        <v>300</v>
      </c>
      <c r="G41" s="593">
        <f t="shared" si="0"/>
        <v>100</v>
      </c>
    </row>
    <row r="42" spans="1:7" s="54" customFormat="1" ht="12.75" customHeight="1">
      <c r="A42" s="591"/>
      <c r="B42" s="116">
        <v>911</v>
      </c>
      <c r="C42" s="108"/>
      <c r="D42" s="121" t="s">
        <v>137</v>
      </c>
      <c r="E42" s="132">
        <v>400</v>
      </c>
      <c r="F42" s="108"/>
      <c r="G42" s="593">
        <f t="shared" si="0"/>
        <v>0</v>
      </c>
    </row>
    <row r="43" spans="1:7" s="54" customFormat="1" ht="12.75" customHeight="1">
      <c r="A43" s="136"/>
      <c r="B43" s="592" t="s">
        <v>253</v>
      </c>
      <c r="C43" s="114"/>
      <c r="D43" s="124" t="s">
        <v>117</v>
      </c>
      <c r="E43" s="132">
        <v>9100</v>
      </c>
      <c r="F43" s="108">
        <v>500</v>
      </c>
      <c r="G43" s="593">
        <f t="shared" si="0"/>
        <v>5.4945054945054945</v>
      </c>
    </row>
    <row r="44" spans="1:7" s="54" customFormat="1" ht="12.75" customHeight="1">
      <c r="A44" s="136"/>
      <c r="B44" s="592" t="s">
        <v>294</v>
      </c>
      <c r="C44" s="114" t="s">
        <v>335</v>
      </c>
      <c r="D44" s="124" t="s">
        <v>117</v>
      </c>
      <c r="E44" s="132">
        <v>500</v>
      </c>
      <c r="F44" s="108"/>
      <c r="G44" s="593">
        <f t="shared" si="0"/>
        <v>0</v>
      </c>
    </row>
    <row r="45" spans="1:7" s="54" customFormat="1" ht="12.75" customHeight="1">
      <c r="A45" s="136"/>
      <c r="B45" s="592" t="s">
        <v>295</v>
      </c>
      <c r="C45" s="114" t="s">
        <v>254</v>
      </c>
      <c r="D45" s="124" t="s">
        <v>117</v>
      </c>
      <c r="E45" s="132">
        <v>750</v>
      </c>
      <c r="F45" s="108"/>
      <c r="G45" s="593">
        <f t="shared" si="0"/>
        <v>0</v>
      </c>
    </row>
    <row r="46" spans="1:7" s="54" customFormat="1" ht="12.75" customHeight="1">
      <c r="A46" s="136"/>
      <c r="B46" s="592" t="s">
        <v>296</v>
      </c>
      <c r="C46" s="114" t="s">
        <v>255</v>
      </c>
      <c r="D46" s="124" t="s">
        <v>117</v>
      </c>
      <c r="E46" s="132">
        <v>4000</v>
      </c>
      <c r="F46" s="108"/>
      <c r="G46" s="593">
        <f t="shared" si="0"/>
        <v>0</v>
      </c>
    </row>
    <row r="47" spans="1:7" s="54" customFormat="1" ht="12.75" customHeight="1">
      <c r="A47" s="591"/>
      <c r="B47" s="116">
        <v>911</v>
      </c>
      <c r="C47" s="108" t="s">
        <v>345</v>
      </c>
      <c r="D47" s="121" t="s">
        <v>224</v>
      </c>
      <c r="E47" s="132"/>
      <c r="F47" s="132">
        <v>2500</v>
      </c>
      <c r="G47" s="593"/>
    </row>
    <row r="48" spans="1:7" s="54" customFormat="1" ht="12.75" customHeight="1">
      <c r="A48" s="591"/>
      <c r="B48" s="116">
        <v>911</v>
      </c>
      <c r="C48" s="108" t="s">
        <v>346</v>
      </c>
      <c r="D48" s="121" t="s">
        <v>344</v>
      </c>
      <c r="E48" s="132"/>
      <c r="F48" s="132">
        <v>14000</v>
      </c>
      <c r="G48" s="593"/>
    </row>
    <row r="49" spans="1:7" s="54" customFormat="1" ht="12.75" customHeight="1">
      <c r="A49" s="136"/>
      <c r="B49" s="592" t="s">
        <v>253</v>
      </c>
      <c r="C49" s="114" t="s">
        <v>334</v>
      </c>
      <c r="D49" s="124" t="s">
        <v>396</v>
      </c>
      <c r="E49" s="132">
        <v>300</v>
      </c>
      <c r="F49" s="132">
        <v>1200</v>
      </c>
      <c r="G49" s="593">
        <f t="shared" si="0"/>
        <v>400</v>
      </c>
    </row>
    <row r="50" spans="1:7" s="54" customFormat="1" ht="12.75" customHeight="1">
      <c r="A50" s="136"/>
      <c r="B50" s="592" t="s">
        <v>253</v>
      </c>
      <c r="C50" s="114"/>
      <c r="D50" s="121" t="s">
        <v>215</v>
      </c>
      <c r="E50" s="132">
        <v>500</v>
      </c>
      <c r="F50" s="108">
        <v>200</v>
      </c>
      <c r="G50" s="593">
        <f t="shared" si="0"/>
        <v>40</v>
      </c>
    </row>
    <row r="51" spans="1:7" s="54" customFormat="1" ht="12.75" customHeight="1" thickBot="1">
      <c r="A51" s="594"/>
      <c r="B51" s="610" t="s">
        <v>253</v>
      </c>
      <c r="C51" s="611" t="s">
        <v>256</v>
      </c>
      <c r="D51" s="612" t="s">
        <v>216</v>
      </c>
      <c r="E51" s="613">
        <v>237</v>
      </c>
      <c r="F51" s="614">
        <v>300</v>
      </c>
      <c r="G51" s="615">
        <f t="shared" si="0"/>
        <v>126.58227848101266</v>
      </c>
    </row>
    <row r="52" spans="1:7" ht="12.75" customHeight="1"/>
    <row r="53" spans="1:7" ht="15.75" thickBot="1">
      <c r="A53" s="70"/>
      <c r="B53" s="70"/>
      <c r="C53" s="70"/>
      <c r="D53" s="70"/>
      <c r="E53" s="3"/>
      <c r="G53" s="479" t="s">
        <v>369</v>
      </c>
    </row>
    <row r="54" spans="1:7">
      <c r="A54" s="9" t="s">
        <v>1</v>
      </c>
      <c r="B54" s="4" t="s">
        <v>2</v>
      </c>
      <c r="C54" s="10" t="s">
        <v>3</v>
      </c>
      <c r="D54" s="71"/>
      <c r="E54" s="81" t="s">
        <v>4</v>
      </c>
      <c r="F54" s="81" t="s">
        <v>308</v>
      </c>
      <c r="G54" s="397" t="s">
        <v>309</v>
      </c>
    </row>
    <row r="55" spans="1:7">
      <c r="A55" s="11" t="s">
        <v>5</v>
      </c>
      <c r="B55" s="5" t="s">
        <v>6</v>
      </c>
      <c r="C55" s="12" t="s">
        <v>7</v>
      </c>
      <c r="D55" s="6" t="s">
        <v>8</v>
      </c>
      <c r="E55" s="84" t="s">
        <v>397</v>
      </c>
      <c r="F55" s="84" t="s">
        <v>273</v>
      </c>
      <c r="G55" s="398" t="s">
        <v>315</v>
      </c>
    </row>
    <row r="56" spans="1:7" ht="15.75" thickBot="1">
      <c r="A56" s="13" t="s">
        <v>9</v>
      </c>
      <c r="B56" s="7" t="s">
        <v>10</v>
      </c>
      <c r="C56" s="14"/>
      <c r="D56" s="15"/>
      <c r="E56" s="88" t="s">
        <v>245</v>
      </c>
      <c r="F56" s="88" t="s">
        <v>314</v>
      </c>
      <c r="G56" s="399" t="s">
        <v>310</v>
      </c>
    </row>
    <row r="57" spans="1:7" ht="12.75" customHeight="1">
      <c r="A57" s="134"/>
      <c r="B57" s="130"/>
      <c r="C57" s="362" t="s">
        <v>260</v>
      </c>
      <c r="D57" s="123" t="s">
        <v>199</v>
      </c>
      <c r="E57" s="117">
        <f>SUM(E58:E84)</f>
        <v>46325</v>
      </c>
      <c r="F57" s="117">
        <f>SUM(F58:F84)</f>
        <v>46096</v>
      </c>
      <c r="G57" s="400">
        <f t="shared" ref="G57:G91" si="1">(F57/E57)*100</f>
        <v>99.505666486778196</v>
      </c>
    </row>
    <row r="58" spans="1:7" ht="12.75" customHeight="1">
      <c r="A58" s="616"/>
      <c r="B58" s="617"/>
      <c r="C58" s="114" t="s">
        <v>133</v>
      </c>
      <c r="D58" s="121" t="s">
        <v>217</v>
      </c>
      <c r="E58" s="532">
        <v>15</v>
      </c>
      <c r="F58" s="356">
        <v>15</v>
      </c>
      <c r="G58" s="472">
        <f t="shared" si="1"/>
        <v>100</v>
      </c>
    </row>
    <row r="59" spans="1:7" ht="12.75" customHeight="1">
      <c r="A59" s="616"/>
      <c r="B59" s="617"/>
      <c r="C59" s="114" t="s">
        <v>133</v>
      </c>
      <c r="D59" s="121" t="s">
        <v>134</v>
      </c>
      <c r="E59" s="132">
        <v>300</v>
      </c>
      <c r="F59" s="356">
        <v>300</v>
      </c>
      <c r="G59" s="472">
        <f t="shared" si="1"/>
        <v>100</v>
      </c>
    </row>
    <row r="60" spans="1:7" ht="12.75" customHeight="1">
      <c r="A60" s="616"/>
      <c r="B60" s="617"/>
      <c r="C60" s="114" t="s">
        <v>133</v>
      </c>
      <c r="D60" s="121" t="s">
        <v>181</v>
      </c>
      <c r="E60" s="132">
        <v>550</v>
      </c>
      <c r="F60" s="356">
        <v>550</v>
      </c>
      <c r="G60" s="472">
        <f t="shared" si="1"/>
        <v>100</v>
      </c>
    </row>
    <row r="61" spans="1:7" ht="12.75" customHeight="1">
      <c r="A61" s="616"/>
      <c r="B61" s="617"/>
      <c r="C61" s="114"/>
      <c r="D61" s="121" t="s">
        <v>182</v>
      </c>
      <c r="E61" s="532">
        <v>3500</v>
      </c>
      <c r="F61" s="356">
        <v>4000</v>
      </c>
      <c r="G61" s="472">
        <f t="shared" si="1"/>
        <v>114.28571428571428</v>
      </c>
    </row>
    <row r="62" spans="1:7" ht="12.75" customHeight="1">
      <c r="A62" s="616"/>
      <c r="B62" s="617"/>
      <c r="C62" s="114"/>
      <c r="D62" s="121" t="s">
        <v>218</v>
      </c>
      <c r="E62" s="532">
        <v>1</v>
      </c>
      <c r="F62" s="356">
        <v>1</v>
      </c>
      <c r="G62" s="472">
        <f t="shared" si="1"/>
        <v>100</v>
      </c>
    </row>
    <row r="63" spans="1:7" ht="12.75" customHeight="1">
      <c r="A63" s="616"/>
      <c r="B63" s="617"/>
      <c r="C63" s="114"/>
      <c r="D63" s="121" t="s">
        <v>219</v>
      </c>
      <c r="E63" s="532">
        <v>650</v>
      </c>
      <c r="F63" s="356">
        <v>700</v>
      </c>
      <c r="G63" s="472">
        <f t="shared" si="1"/>
        <v>107.69230769230769</v>
      </c>
    </row>
    <row r="64" spans="1:7" ht="12.75" customHeight="1">
      <c r="A64" s="616"/>
      <c r="B64" s="617"/>
      <c r="C64" s="114"/>
      <c r="D64" s="121" t="s">
        <v>220</v>
      </c>
      <c r="E64" s="532">
        <v>450</v>
      </c>
      <c r="F64" s="356">
        <v>450</v>
      </c>
      <c r="G64" s="472">
        <f t="shared" si="1"/>
        <v>100</v>
      </c>
    </row>
    <row r="65" spans="1:7" ht="12.75" customHeight="1">
      <c r="A65" s="616"/>
      <c r="B65" s="617"/>
      <c r="C65" s="114"/>
      <c r="D65" s="121" t="s">
        <v>221</v>
      </c>
      <c r="E65" s="532">
        <v>3700</v>
      </c>
      <c r="F65" s="356">
        <v>3000</v>
      </c>
      <c r="G65" s="472">
        <f t="shared" si="1"/>
        <v>81.081081081081081</v>
      </c>
    </row>
    <row r="66" spans="1:7" ht="12.75" customHeight="1">
      <c r="A66" s="616"/>
      <c r="B66" s="617"/>
      <c r="C66" s="114"/>
      <c r="D66" s="121" t="s">
        <v>187</v>
      </c>
      <c r="E66" s="532">
        <v>4600</v>
      </c>
      <c r="F66" s="356">
        <v>4600</v>
      </c>
      <c r="G66" s="472">
        <f t="shared" si="1"/>
        <v>100</v>
      </c>
    </row>
    <row r="67" spans="1:7" ht="12.75" customHeight="1">
      <c r="A67" s="616"/>
      <c r="B67" s="617"/>
      <c r="C67" s="114"/>
      <c r="D67" s="121" t="s">
        <v>222</v>
      </c>
      <c r="E67" s="532">
        <v>400</v>
      </c>
      <c r="F67" s="356">
        <v>400</v>
      </c>
      <c r="G67" s="472">
        <f t="shared" si="1"/>
        <v>100</v>
      </c>
    </row>
    <row r="68" spans="1:7" ht="12.75" customHeight="1">
      <c r="A68" s="616"/>
      <c r="B68" s="617"/>
      <c r="C68" s="114"/>
      <c r="D68" s="618" t="s">
        <v>223</v>
      </c>
      <c r="E68" s="532">
        <v>1800</v>
      </c>
      <c r="F68" s="356">
        <v>1800</v>
      </c>
      <c r="G68" s="472">
        <f t="shared" si="1"/>
        <v>100</v>
      </c>
    </row>
    <row r="69" spans="1:7" ht="12.75" customHeight="1">
      <c r="A69" s="616"/>
      <c r="B69" s="617"/>
      <c r="C69" s="114"/>
      <c r="D69" s="121" t="s">
        <v>224</v>
      </c>
      <c r="E69" s="532">
        <v>1500</v>
      </c>
      <c r="F69" s="356">
        <v>1500</v>
      </c>
      <c r="G69" s="472">
        <f t="shared" si="1"/>
        <v>100</v>
      </c>
    </row>
    <row r="70" spans="1:7" ht="12.75" customHeight="1">
      <c r="A70" s="616"/>
      <c r="B70" s="617"/>
      <c r="C70" s="114"/>
      <c r="D70" s="121" t="s">
        <v>120</v>
      </c>
      <c r="E70" s="532">
        <v>220</v>
      </c>
      <c r="F70" s="356">
        <v>220</v>
      </c>
      <c r="G70" s="472">
        <f t="shared" si="1"/>
        <v>100</v>
      </c>
    </row>
    <row r="71" spans="1:7" ht="12.75" customHeight="1">
      <c r="A71" s="616"/>
      <c r="B71" s="617"/>
      <c r="C71" s="601"/>
      <c r="D71" s="618" t="s">
        <v>183</v>
      </c>
      <c r="E71" s="532">
        <v>1</v>
      </c>
      <c r="F71" s="356">
        <v>1</v>
      </c>
      <c r="G71" s="472">
        <f t="shared" si="1"/>
        <v>100</v>
      </c>
    </row>
    <row r="72" spans="1:7" ht="12.75" customHeight="1">
      <c r="A72" s="616"/>
      <c r="B72" s="617"/>
      <c r="C72" s="108"/>
      <c r="D72" s="121" t="s">
        <v>141</v>
      </c>
      <c r="E72" s="532">
        <v>1000</v>
      </c>
      <c r="F72" s="356">
        <v>1000</v>
      </c>
      <c r="G72" s="472">
        <f t="shared" si="1"/>
        <v>100</v>
      </c>
    </row>
    <row r="73" spans="1:7" ht="12.75" customHeight="1">
      <c r="A73" s="616"/>
      <c r="B73" s="617"/>
      <c r="C73" s="108"/>
      <c r="D73" s="121" t="s">
        <v>117</v>
      </c>
      <c r="E73" s="532">
        <v>16200</v>
      </c>
      <c r="F73" s="356">
        <v>16200</v>
      </c>
      <c r="G73" s="472">
        <f t="shared" si="1"/>
        <v>100</v>
      </c>
    </row>
    <row r="74" spans="1:7" ht="12.75" customHeight="1">
      <c r="A74" s="616"/>
      <c r="B74" s="617"/>
      <c r="C74" s="108" t="s">
        <v>202</v>
      </c>
      <c r="D74" s="121" t="s">
        <v>225</v>
      </c>
      <c r="E74" s="532">
        <v>2500</v>
      </c>
      <c r="F74" s="356">
        <v>2300</v>
      </c>
      <c r="G74" s="472">
        <f t="shared" si="1"/>
        <v>92</v>
      </c>
    </row>
    <row r="75" spans="1:7" ht="12.75" customHeight="1">
      <c r="A75" s="616"/>
      <c r="B75" s="617"/>
      <c r="C75" s="108"/>
      <c r="D75" s="121" t="s">
        <v>184</v>
      </c>
      <c r="E75" s="532">
        <v>8500</v>
      </c>
      <c r="F75" s="356">
        <v>8500</v>
      </c>
      <c r="G75" s="472">
        <f t="shared" si="1"/>
        <v>100</v>
      </c>
    </row>
    <row r="76" spans="1:7" ht="12.75" customHeight="1">
      <c r="A76" s="616"/>
      <c r="B76" s="617"/>
      <c r="C76" s="108"/>
      <c r="D76" s="121" t="s">
        <v>226</v>
      </c>
      <c r="E76" s="532">
        <v>60</v>
      </c>
      <c r="F76" s="356">
        <v>150</v>
      </c>
      <c r="G76" s="472">
        <f t="shared" si="1"/>
        <v>250</v>
      </c>
    </row>
    <row r="77" spans="1:7" ht="12.75" customHeight="1">
      <c r="A77" s="616"/>
      <c r="B77" s="617"/>
      <c r="C77" s="108"/>
      <c r="D77" s="121" t="s">
        <v>227</v>
      </c>
      <c r="E77" s="532">
        <v>250</v>
      </c>
      <c r="F77" s="356">
        <v>250</v>
      </c>
      <c r="G77" s="472">
        <f t="shared" si="1"/>
        <v>100</v>
      </c>
    </row>
    <row r="78" spans="1:7" ht="12.75" customHeight="1">
      <c r="A78" s="616"/>
      <c r="B78" s="617"/>
      <c r="C78" s="108"/>
      <c r="D78" s="121" t="s">
        <v>228</v>
      </c>
      <c r="E78" s="532">
        <v>5</v>
      </c>
      <c r="F78" s="356">
        <v>5</v>
      </c>
      <c r="G78" s="472">
        <f t="shared" si="1"/>
        <v>100</v>
      </c>
    </row>
    <row r="79" spans="1:7" ht="12.75" customHeight="1">
      <c r="A79" s="616"/>
      <c r="B79" s="617"/>
      <c r="C79" s="108" t="s">
        <v>229</v>
      </c>
      <c r="D79" s="121" t="s">
        <v>230</v>
      </c>
      <c r="E79" s="532">
        <v>30</v>
      </c>
      <c r="F79" s="356">
        <v>30</v>
      </c>
      <c r="G79" s="472">
        <f t="shared" si="1"/>
        <v>100</v>
      </c>
    </row>
    <row r="80" spans="1:7" ht="12.75" customHeight="1">
      <c r="A80" s="616"/>
      <c r="B80" s="617"/>
      <c r="C80" s="108"/>
      <c r="D80" s="121" t="s">
        <v>135</v>
      </c>
      <c r="E80" s="532">
        <v>2</v>
      </c>
      <c r="F80" s="356">
        <v>2</v>
      </c>
      <c r="G80" s="472">
        <f t="shared" si="1"/>
        <v>100</v>
      </c>
    </row>
    <row r="81" spans="1:7" ht="12.75" customHeight="1">
      <c r="A81" s="616"/>
      <c r="B81" s="617"/>
      <c r="C81" s="108"/>
      <c r="D81" s="619" t="s">
        <v>231</v>
      </c>
      <c r="E81" s="532">
        <v>20</v>
      </c>
      <c r="F81" s="356">
        <v>20</v>
      </c>
      <c r="G81" s="472">
        <f t="shared" si="1"/>
        <v>100</v>
      </c>
    </row>
    <row r="82" spans="1:7" ht="12.75" customHeight="1">
      <c r="A82" s="137"/>
      <c r="B82" s="620"/>
      <c r="C82" s="597"/>
      <c r="D82" s="619" t="s">
        <v>232</v>
      </c>
      <c r="E82" s="532">
        <v>70</v>
      </c>
      <c r="F82" s="356">
        <v>100</v>
      </c>
      <c r="G82" s="472">
        <f t="shared" si="1"/>
        <v>142.85714285714286</v>
      </c>
    </row>
    <row r="83" spans="1:7" ht="12.75" customHeight="1">
      <c r="A83" s="621"/>
      <c r="B83" s="597"/>
      <c r="C83" s="597"/>
      <c r="D83" s="606" t="s">
        <v>233</v>
      </c>
      <c r="E83" s="532">
        <v>1</v>
      </c>
      <c r="F83" s="356">
        <v>1</v>
      </c>
      <c r="G83" s="472">
        <f t="shared" si="1"/>
        <v>100</v>
      </c>
    </row>
    <row r="84" spans="1:7" ht="12.75" customHeight="1">
      <c r="A84" s="621"/>
      <c r="B84" s="597"/>
      <c r="C84" s="597" t="s">
        <v>319</v>
      </c>
      <c r="D84" s="121" t="s">
        <v>117</v>
      </c>
      <c r="E84" s="235"/>
      <c r="F84" s="598">
        <v>1</v>
      </c>
      <c r="G84" s="472"/>
    </row>
    <row r="85" spans="1:7" ht="12.75" customHeight="1">
      <c r="A85" s="142"/>
      <c r="B85" s="120"/>
      <c r="C85" s="120"/>
      <c r="D85" s="131"/>
      <c r="E85" s="235"/>
      <c r="F85" s="474"/>
      <c r="G85" s="401"/>
    </row>
    <row r="86" spans="1:7" ht="14.25" customHeight="1">
      <c r="A86" s="104" t="s">
        <v>257</v>
      </c>
      <c r="B86" s="704" t="s">
        <v>258</v>
      </c>
      <c r="C86" s="705"/>
      <c r="D86" s="123" t="s">
        <v>199</v>
      </c>
      <c r="E86" s="117">
        <f>E87</f>
        <v>3900</v>
      </c>
      <c r="F86" s="117">
        <f>SUM(F87:F90)</f>
        <v>6800</v>
      </c>
      <c r="G86" s="400">
        <f t="shared" si="1"/>
        <v>174.35897435897436</v>
      </c>
    </row>
    <row r="87" spans="1:7" ht="12.75" customHeight="1">
      <c r="A87" s="136"/>
      <c r="B87" s="139"/>
      <c r="C87" s="114" t="s">
        <v>328</v>
      </c>
      <c r="D87" s="121" t="s">
        <v>141</v>
      </c>
      <c r="E87" s="132">
        <v>3900</v>
      </c>
      <c r="F87" s="656">
        <v>2800</v>
      </c>
      <c r="G87" s="472">
        <f t="shared" si="1"/>
        <v>71.794871794871796</v>
      </c>
    </row>
    <row r="88" spans="1:7" ht="12.75" customHeight="1">
      <c r="A88" s="142"/>
      <c r="B88" s="120"/>
      <c r="C88" s="622" t="s">
        <v>329</v>
      </c>
      <c r="D88" s="121" t="s">
        <v>141</v>
      </c>
      <c r="E88" s="235"/>
      <c r="F88" s="657">
        <v>500</v>
      </c>
      <c r="G88" s="472"/>
    </row>
    <row r="89" spans="1:7" ht="12.75" customHeight="1">
      <c r="A89" s="142"/>
      <c r="B89" s="120"/>
      <c r="C89" s="622" t="s">
        <v>331</v>
      </c>
      <c r="D89" s="121" t="s">
        <v>141</v>
      </c>
      <c r="E89" s="235"/>
      <c r="F89" s="657">
        <v>1000</v>
      </c>
      <c r="G89" s="472"/>
    </row>
    <row r="90" spans="1:7" ht="14.25" customHeight="1" thickBot="1">
      <c r="A90" s="142"/>
      <c r="B90" s="120"/>
      <c r="C90" s="622" t="s">
        <v>330</v>
      </c>
      <c r="D90" s="606" t="s">
        <v>141</v>
      </c>
      <c r="E90" s="623"/>
      <c r="F90" s="474">
        <v>2500</v>
      </c>
      <c r="G90" s="599"/>
    </row>
    <row r="91" spans="1:7" ht="20.25" customHeight="1" thickBot="1">
      <c r="A91" s="722" t="s">
        <v>21</v>
      </c>
      <c r="B91" s="723"/>
      <c r="C91" s="724"/>
      <c r="D91" s="16"/>
      <c r="E91" s="145">
        <f>E6+E86+E35+E38</f>
        <v>286640</v>
      </c>
      <c r="F91" s="145">
        <f>F6+F86+F35+F38</f>
        <v>269953</v>
      </c>
      <c r="G91" s="427">
        <f t="shared" si="1"/>
        <v>94.178411945297242</v>
      </c>
    </row>
    <row r="92" spans="1:7" ht="12.75" customHeight="1">
      <c r="A92" s="54"/>
      <c r="B92" s="54"/>
      <c r="C92" s="54"/>
      <c r="D92" s="54"/>
      <c r="E92" s="54"/>
    </row>
    <row r="93" spans="1:7">
      <c r="A93" s="54"/>
      <c r="B93" s="54"/>
      <c r="C93" s="54"/>
      <c r="D93" s="54"/>
      <c r="E93" s="54"/>
    </row>
    <row r="94" spans="1:7">
      <c r="A94" s="54"/>
      <c r="B94" s="54"/>
      <c r="C94" s="54"/>
      <c r="D94" s="54"/>
      <c r="E94" s="54"/>
    </row>
    <row r="95" spans="1:7">
      <c r="A95" s="54"/>
      <c r="B95" s="54"/>
      <c r="C95" s="54"/>
      <c r="D95" s="54"/>
      <c r="E95" s="54"/>
    </row>
  </sheetData>
  <mergeCells count="5">
    <mergeCell ref="A91:C91"/>
    <mergeCell ref="B1:E1"/>
    <mergeCell ref="B6:C6"/>
    <mergeCell ref="B35:C35"/>
    <mergeCell ref="B86:C86"/>
  </mergeCells>
  <printOptions horizontalCentered="1"/>
  <pageMargins left="0" right="0" top="0" bottom="0" header="0" footer="0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0"/>
  <sheetViews>
    <sheetView zoomScaleNormal="100" workbookViewId="0">
      <selection activeCell="G23" sqref="G23"/>
    </sheetView>
  </sheetViews>
  <sheetFormatPr defaultRowHeight="15"/>
  <cols>
    <col min="1" max="2" width="12.7109375" customWidth="1"/>
    <col min="3" max="3" width="35.42578125" customWidth="1"/>
    <col min="4" max="4" width="43.7109375" customWidth="1"/>
    <col min="5" max="7" width="14.7109375" customWidth="1"/>
  </cols>
  <sheetData>
    <row r="1" spans="1:7">
      <c r="A1" s="17"/>
      <c r="B1" s="17"/>
      <c r="C1" s="17"/>
      <c r="D1" s="17"/>
      <c r="E1" s="17"/>
    </row>
    <row r="2" spans="1:7" ht="18">
      <c r="A2" s="17"/>
      <c r="B2" s="17"/>
      <c r="C2" s="58"/>
      <c r="D2" s="17"/>
      <c r="E2" s="17"/>
    </row>
    <row r="3" spans="1:7" ht="15.75">
      <c r="A3" s="733" t="s">
        <v>234</v>
      </c>
      <c r="B3" s="734"/>
      <c r="C3" s="734"/>
      <c r="D3" s="734"/>
      <c r="E3" s="17"/>
    </row>
    <row r="4" spans="1:7" ht="15.75" thickBot="1">
      <c r="A4" s="17"/>
      <c r="B4" s="17"/>
      <c r="C4" s="17"/>
      <c r="D4" s="17"/>
      <c r="E4" s="59"/>
      <c r="G4" s="479" t="s">
        <v>370</v>
      </c>
    </row>
    <row r="5" spans="1:7">
      <c r="A5" s="32" t="s">
        <v>1</v>
      </c>
      <c r="B5" s="33" t="s">
        <v>2</v>
      </c>
      <c r="C5" s="34" t="s">
        <v>3</v>
      </c>
      <c r="D5" s="35"/>
      <c r="E5" s="81" t="s">
        <v>4</v>
      </c>
      <c r="F5" s="81" t="s">
        <v>308</v>
      </c>
      <c r="G5" s="397" t="s">
        <v>309</v>
      </c>
    </row>
    <row r="6" spans="1:7">
      <c r="A6" s="36" t="s">
        <v>5</v>
      </c>
      <c r="B6" s="37" t="s">
        <v>6</v>
      </c>
      <c r="C6" s="38" t="s">
        <v>7</v>
      </c>
      <c r="D6" s="39" t="s">
        <v>8</v>
      </c>
      <c r="E6" s="84" t="s">
        <v>397</v>
      </c>
      <c r="F6" s="84" t="s">
        <v>273</v>
      </c>
      <c r="G6" s="398" t="s">
        <v>315</v>
      </c>
    </row>
    <row r="7" spans="1:7" ht="15" customHeight="1" thickBot="1">
      <c r="A7" s="40" t="s">
        <v>9</v>
      </c>
      <c r="B7" s="45" t="s">
        <v>10</v>
      </c>
      <c r="C7" s="42"/>
      <c r="D7" s="43"/>
      <c r="E7" s="88" t="s">
        <v>245</v>
      </c>
      <c r="F7" s="88" t="s">
        <v>314</v>
      </c>
      <c r="G7" s="399" t="s">
        <v>310</v>
      </c>
    </row>
    <row r="8" spans="1:7" ht="15.75">
      <c r="A8" s="363" t="s">
        <v>235</v>
      </c>
      <c r="B8" s="364"/>
      <c r="C8" s="364"/>
      <c r="D8" s="364"/>
      <c r="E8" s="365"/>
      <c r="F8" s="470"/>
      <c r="G8" s="380"/>
    </row>
    <row r="9" spans="1:7">
      <c r="A9" s="190" t="s">
        <v>236</v>
      </c>
      <c r="B9" s="735" t="s">
        <v>237</v>
      </c>
      <c r="C9" s="698"/>
      <c r="D9" s="191"/>
      <c r="E9" s="162">
        <f>E11</f>
        <v>220</v>
      </c>
      <c r="F9" s="162">
        <f>F11</f>
        <v>200</v>
      </c>
      <c r="G9" s="400">
        <f t="shared" ref="G9:G17" si="0">(F9/E9)*100</f>
        <v>90.909090909090907</v>
      </c>
    </row>
    <row r="10" spans="1:7" ht="15" customHeight="1">
      <c r="A10" s="175"/>
      <c r="B10" s="192"/>
      <c r="C10" s="193" t="s">
        <v>238</v>
      </c>
      <c r="D10" s="194" t="s">
        <v>268</v>
      </c>
      <c r="E10" s="147"/>
      <c r="F10" s="318"/>
      <c r="G10" s="401"/>
    </row>
    <row r="11" spans="1:7">
      <c r="A11" s="195"/>
      <c r="B11" s="196"/>
      <c r="C11" s="197"/>
      <c r="D11" s="146" t="s">
        <v>120</v>
      </c>
      <c r="E11" s="516">
        <v>220</v>
      </c>
      <c r="F11" s="318">
        <v>200</v>
      </c>
      <c r="G11" s="401">
        <f t="shared" si="0"/>
        <v>90.909090909090907</v>
      </c>
    </row>
    <row r="12" spans="1:7">
      <c r="A12" s="195"/>
      <c r="B12" s="323"/>
      <c r="C12" s="320"/>
      <c r="D12" s="321"/>
      <c r="E12" s="147"/>
      <c r="F12" s="318"/>
      <c r="G12" s="401"/>
    </row>
    <row r="13" spans="1:7">
      <c r="A13" s="198" t="s">
        <v>269</v>
      </c>
      <c r="B13" s="199" t="s">
        <v>259</v>
      </c>
      <c r="C13" s="200"/>
      <c r="D13" s="201"/>
      <c r="E13" s="162">
        <f>E15</f>
        <v>80</v>
      </c>
      <c r="F13" s="162">
        <f>F15</f>
        <v>80</v>
      </c>
      <c r="G13" s="400">
        <f t="shared" si="0"/>
        <v>100</v>
      </c>
    </row>
    <row r="14" spans="1:7">
      <c r="A14" s="198"/>
      <c r="B14" s="159"/>
      <c r="C14" s="199" t="s">
        <v>270</v>
      </c>
      <c r="D14" s="201"/>
      <c r="E14" s="162"/>
      <c r="F14" s="318"/>
      <c r="G14" s="401"/>
    </row>
    <row r="15" spans="1:7">
      <c r="A15" s="175"/>
      <c r="B15" s="202"/>
      <c r="C15" s="193" t="s">
        <v>239</v>
      </c>
      <c r="D15" s="194" t="s">
        <v>240</v>
      </c>
      <c r="E15" s="516">
        <v>80</v>
      </c>
      <c r="F15" s="318">
        <v>80</v>
      </c>
      <c r="G15" s="401">
        <f t="shared" si="0"/>
        <v>100</v>
      </c>
    </row>
    <row r="16" spans="1:7" ht="15.75" thickBot="1">
      <c r="A16" s="204"/>
      <c r="B16" s="205"/>
      <c r="C16" s="206"/>
      <c r="D16" s="207"/>
      <c r="E16" s="183"/>
      <c r="F16" s="471"/>
      <c r="G16" s="407"/>
    </row>
    <row r="17" spans="1:7" ht="16.5" thickBot="1">
      <c r="A17" s="671" t="s">
        <v>21</v>
      </c>
      <c r="B17" s="672"/>
      <c r="C17" s="673"/>
      <c r="D17" s="203"/>
      <c r="E17" s="208">
        <f>E9+E13</f>
        <v>300</v>
      </c>
      <c r="F17" s="208">
        <f>F9+F13</f>
        <v>280</v>
      </c>
      <c r="G17" s="427">
        <f t="shared" si="0"/>
        <v>93.333333333333329</v>
      </c>
    </row>
    <row r="18" spans="1:7">
      <c r="F18" s="350"/>
    </row>
    <row r="19" spans="1:7" ht="15" customHeight="1">
      <c r="F19" s="350"/>
    </row>
    <row r="20" spans="1:7">
      <c r="F20" s="659"/>
    </row>
  </sheetData>
  <mergeCells count="3">
    <mergeCell ref="A3:D3"/>
    <mergeCell ref="B9:C9"/>
    <mergeCell ref="A17:C17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</cp:lastModifiedBy>
  <cp:lastPrinted>2016-02-09T12:01:09Z</cp:lastPrinted>
  <dcterms:created xsi:type="dcterms:W3CDTF">2014-06-06T09:29:24Z</dcterms:created>
  <dcterms:modified xsi:type="dcterms:W3CDTF">2016-02-25T07:06:48Z</dcterms:modified>
</cp:coreProperties>
</file>